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garcia\Documents\Aviagen\Aviagen - copia\Alabama\Programas\"/>
    </mc:Choice>
  </mc:AlternateContent>
  <xr:revisionPtr revIDLastSave="0" documentId="13_ncr:1_{0FA5C5CD-049F-4D04-B03B-606CC7380762}" xr6:coauthVersionLast="36" xr6:coauthVersionMax="36" xr10:uidLastSave="{00000000-0000-0000-0000-000000000000}"/>
  <bookViews>
    <workbookView xWindow="-120" yWindow="-120" windowWidth="29040" windowHeight="15720" tabRatio="787" firstSheet="74" activeTab="81" xr2:uid="{00000000-000D-0000-FFFF-FFFF00000000}"/>
  </bookViews>
  <sheets>
    <sheet name="SEM 1" sheetId="1" r:id="rId1"/>
    <sheet name="SEM2" sheetId="87" r:id="rId2"/>
    <sheet name="SEM3" sheetId="88" r:id="rId3"/>
    <sheet name="SEM 4" sheetId="81" r:id="rId4"/>
    <sheet name="SEM4 post grading" sheetId="91" r:id="rId5"/>
    <sheet name="SEM5" sheetId="95" r:id="rId6"/>
    <sheet name="SEM6" sheetId="99" r:id="rId7"/>
    <sheet name="SEM7" sheetId="100" r:id="rId8"/>
    <sheet name="SEM8" sheetId="101" r:id="rId9"/>
    <sheet name="SEM9" sheetId="102" r:id="rId10"/>
    <sheet name="SEM10" sheetId="103" r:id="rId11"/>
    <sheet name="SEM11" sheetId="104" r:id="rId12"/>
    <sheet name="SEM12" sheetId="106" r:id="rId13"/>
    <sheet name="SEM13" sheetId="107" r:id="rId14"/>
    <sheet name="SEM14" sheetId="108" r:id="rId15"/>
    <sheet name="SEM14.1" sheetId="109" r:id="rId16"/>
    <sheet name="SEM14.2" sheetId="110" r:id="rId17"/>
    <sheet name="SEM14.3" sheetId="112" r:id="rId18"/>
    <sheet name="SEM15" sheetId="113" r:id="rId19"/>
    <sheet name="SEM16" sheetId="114" r:id="rId20"/>
    <sheet name="SEM17" sheetId="115" r:id="rId21"/>
    <sheet name="SEM18" sheetId="116" r:id="rId22"/>
    <sheet name="SEM19" sheetId="117" r:id="rId23"/>
    <sheet name="SEM19,2" sheetId="119" r:id="rId24"/>
    <sheet name="SEM19,3" sheetId="120" r:id="rId25"/>
    <sheet name="SEM19,4" sheetId="121" r:id="rId26"/>
    <sheet name="SEM 20" sheetId="122" r:id="rId27"/>
    <sheet name="SEM 20,1" sheetId="123" r:id="rId28"/>
    <sheet name="SEM 20,2" sheetId="124" r:id="rId29"/>
    <sheet name="SEM 20,3" sheetId="125" r:id="rId30"/>
    <sheet name="SEM 20,4" sheetId="126" r:id="rId31"/>
    <sheet name="SEM 21" sheetId="127" r:id="rId32"/>
    <sheet name="SEM 22" sheetId="128" r:id="rId33"/>
    <sheet name="SEM 22,1" sheetId="129" r:id="rId34"/>
    <sheet name="SEM 22,2" sheetId="130" r:id="rId35"/>
    <sheet name="SEM 23" sheetId="131" r:id="rId36"/>
    <sheet name="SEM 23,1" sheetId="132" r:id="rId37"/>
    <sheet name="SEM 24" sheetId="133" r:id="rId38"/>
    <sheet name="SEM 25" sheetId="134" r:id="rId39"/>
    <sheet name="SEM 26" sheetId="135" r:id="rId40"/>
    <sheet name="SEM 27" sheetId="136" r:id="rId41"/>
    <sheet name="SEM 28" sheetId="137" r:id="rId42"/>
    <sheet name="SEM 29" sheetId="138" r:id="rId43"/>
    <sheet name="SEM 30" sheetId="139" r:id="rId44"/>
    <sheet name="SEM 30,1" sheetId="140" r:id="rId45"/>
    <sheet name="SEM 30,2" sheetId="141" r:id="rId46"/>
    <sheet name="SEM 31" sheetId="142" r:id="rId47"/>
    <sheet name="SEM 32" sheetId="143" r:id="rId48"/>
    <sheet name="SEM 33" sheetId="144" r:id="rId49"/>
    <sheet name="SEM 34" sheetId="145" r:id="rId50"/>
    <sheet name="SEM 35" sheetId="146" r:id="rId51"/>
    <sheet name="SEM 36" sheetId="147" r:id="rId52"/>
    <sheet name="SEM 37" sheetId="148" r:id="rId53"/>
    <sheet name="SEM 38" sheetId="149" r:id="rId54"/>
    <sheet name="SEM 39" sheetId="150" r:id="rId55"/>
    <sheet name="SEM 40" sheetId="152" r:id="rId56"/>
    <sheet name="SEM 41" sheetId="153" r:id="rId57"/>
    <sheet name="SEM 42" sheetId="155" r:id="rId58"/>
    <sheet name="SEM 43" sheetId="157" r:id="rId59"/>
    <sheet name="SEM 44" sheetId="158" r:id="rId60"/>
    <sheet name="SEM 45" sheetId="159" r:id="rId61"/>
    <sheet name="SEM 46" sheetId="161" r:id="rId62"/>
    <sheet name="SEM 47" sheetId="163" r:id="rId63"/>
    <sheet name="SEM 48" sheetId="164" r:id="rId64"/>
    <sheet name="SEM 49" sheetId="166" r:id="rId65"/>
    <sheet name="SEM 49.2" sheetId="165" r:id="rId66"/>
    <sheet name="SEM 50" sheetId="167" r:id="rId67"/>
    <sheet name="SEM 50,2" sheetId="168" r:id="rId68"/>
    <sheet name="SEM 50,3" sheetId="170" r:id="rId69"/>
    <sheet name="SEM 50,4" sheetId="171" r:id="rId70"/>
    <sheet name="SEM 51" sheetId="172" r:id="rId71"/>
    <sheet name="SEM 52" sheetId="173" r:id="rId72"/>
    <sheet name="SEM 53" sheetId="174" r:id="rId73"/>
    <sheet name="SEM 54" sheetId="175" r:id="rId74"/>
    <sheet name="SEM 55" sheetId="176" r:id="rId75"/>
    <sheet name="SEM 56" sheetId="177" r:id="rId76"/>
    <sheet name="SEM 57" sheetId="178" r:id="rId77"/>
    <sheet name="SEM 58" sheetId="181" r:id="rId78"/>
    <sheet name="SEM 59" sheetId="182" r:id="rId79"/>
    <sheet name="SEM 60" sheetId="183" r:id="rId80"/>
    <sheet name="SEM 61" sheetId="184" r:id="rId81"/>
    <sheet name="IMPRIMIR" sheetId="162" r:id="rId82"/>
    <sheet name="SEM 62" sheetId="185" r:id="rId83"/>
    <sheet name="COPIA JOSE" sheetId="179" state="hidden" r:id="rId84"/>
    <sheet name="COPIA JOSE (2)" sheetId="180" state="hidden" r:id="rId85"/>
  </sheets>
  <definedNames>
    <definedName name="_xlnm.Print_Area" localSheetId="83">'COPIA JOSE'!$A$1:$Y$45</definedName>
    <definedName name="_xlnm.Print_Area" localSheetId="84">'COPIA JOSE (2)'!$A$1:$Y$45</definedName>
    <definedName name="_xlnm.Print_Area" localSheetId="81">IMPRIMIR!$A$1:$Y$45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63" i="185" l="1"/>
  <c r="U63" i="185"/>
  <c r="T63" i="185"/>
  <c r="S63" i="185"/>
  <c r="R63" i="185"/>
  <c r="Q63" i="185"/>
  <c r="P63" i="185"/>
  <c r="O63" i="185"/>
  <c r="N63" i="185"/>
  <c r="M63" i="185"/>
  <c r="L63" i="185"/>
  <c r="K63" i="185"/>
  <c r="J63" i="185"/>
  <c r="I63" i="185"/>
  <c r="H63" i="185"/>
  <c r="G63" i="185"/>
  <c r="F63" i="185"/>
  <c r="E63" i="185"/>
  <c r="D63" i="185"/>
  <c r="C63" i="185"/>
  <c r="B63" i="185"/>
  <c r="V62" i="185"/>
  <c r="U62" i="185"/>
  <c r="T62" i="185"/>
  <c r="S62" i="185"/>
  <c r="R62" i="185"/>
  <c r="Q62" i="185"/>
  <c r="P62" i="185"/>
  <c r="O62" i="185"/>
  <c r="N62" i="185"/>
  <c r="M62" i="185"/>
  <c r="L62" i="185"/>
  <c r="K62" i="185"/>
  <c r="J62" i="185"/>
  <c r="I62" i="185"/>
  <c r="H62" i="185"/>
  <c r="G62" i="185"/>
  <c r="F62" i="185"/>
  <c r="E62" i="185"/>
  <c r="D62" i="185"/>
  <c r="C62" i="185"/>
  <c r="B62" i="185"/>
  <c r="W61" i="185"/>
  <c r="V59" i="185"/>
  <c r="U59" i="185"/>
  <c r="U64" i="185" s="1"/>
  <c r="T59" i="185"/>
  <c r="S59" i="185"/>
  <c r="S64" i="185" s="1"/>
  <c r="R59" i="185"/>
  <c r="R64" i="185" s="1"/>
  <c r="Q59" i="185"/>
  <c r="Q64" i="185" s="1"/>
  <c r="P59" i="185"/>
  <c r="P64" i="185" s="1"/>
  <c r="O59" i="185"/>
  <c r="N59" i="185"/>
  <c r="N64" i="185" s="1"/>
  <c r="M59" i="185"/>
  <c r="M64" i="185" s="1"/>
  <c r="L59" i="185"/>
  <c r="K59" i="185"/>
  <c r="K64" i="185" s="1"/>
  <c r="J59" i="185"/>
  <c r="J64" i="185" s="1"/>
  <c r="I59" i="185"/>
  <c r="I64" i="185" s="1"/>
  <c r="H59" i="185"/>
  <c r="H64" i="185" s="1"/>
  <c r="G59" i="185"/>
  <c r="F59" i="185"/>
  <c r="F65" i="185" s="1"/>
  <c r="E59" i="185"/>
  <c r="E64" i="185" s="1"/>
  <c r="D59" i="185"/>
  <c r="C59" i="185"/>
  <c r="C64" i="185" s="1"/>
  <c r="B59" i="185"/>
  <c r="B64" i="185" s="1"/>
  <c r="W58" i="185"/>
  <c r="W57" i="185"/>
  <c r="W56" i="185"/>
  <c r="W55" i="185"/>
  <c r="W54" i="185"/>
  <c r="W53" i="185"/>
  <c r="W52" i="185"/>
  <c r="W51" i="185"/>
  <c r="T41" i="185"/>
  <c r="S41" i="185"/>
  <c r="R41" i="185"/>
  <c r="Q41" i="185"/>
  <c r="P41" i="185"/>
  <c r="O41" i="185"/>
  <c r="G41" i="185"/>
  <c r="F41" i="185"/>
  <c r="E41" i="185"/>
  <c r="D41" i="185"/>
  <c r="C41" i="185"/>
  <c r="B41" i="185"/>
  <c r="T40" i="185"/>
  <c r="S40" i="185"/>
  <c r="R40" i="185"/>
  <c r="Q40" i="185"/>
  <c r="P40" i="185"/>
  <c r="O40" i="185"/>
  <c r="G40" i="185"/>
  <c r="F40" i="185"/>
  <c r="E40" i="185"/>
  <c r="D40" i="185"/>
  <c r="C40" i="185"/>
  <c r="B40" i="185"/>
  <c r="U39" i="185"/>
  <c r="H39" i="185"/>
  <c r="T37" i="185"/>
  <c r="T42" i="185" s="1"/>
  <c r="T44" i="185" s="1"/>
  <c r="S37" i="185"/>
  <c r="S42" i="185" s="1"/>
  <c r="S44" i="185" s="1"/>
  <c r="R37" i="185"/>
  <c r="R42" i="185" s="1"/>
  <c r="R44" i="185" s="1"/>
  <c r="Q37" i="185"/>
  <c r="Q42" i="185" s="1"/>
  <c r="Q44" i="185" s="1"/>
  <c r="P37" i="185"/>
  <c r="P42" i="185" s="1"/>
  <c r="P44" i="185" s="1"/>
  <c r="O37" i="185"/>
  <c r="O42" i="185" s="1"/>
  <c r="O44" i="185" s="1"/>
  <c r="U36" i="185"/>
  <c r="U35" i="185"/>
  <c r="U34" i="185"/>
  <c r="U33" i="185"/>
  <c r="U32" i="185"/>
  <c r="U31" i="185"/>
  <c r="U30" i="185"/>
  <c r="H30" i="185"/>
  <c r="U29" i="185"/>
  <c r="H29" i="185"/>
  <c r="V19" i="185"/>
  <c r="U19" i="185"/>
  <c r="T19" i="185"/>
  <c r="S19" i="185"/>
  <c r="R19" i="185"/>
  <c r="Q19" i="185"/>
  <c r="P19" i="185"/>
  <c r="O19" i="185"/>
  <c r="N19" i="185"/>
  <c r="M19" i="185"/>
  <c r="L19" i="185"/>
  <c r="K19" i="185"/>
  <c r="J19" i="185"/>
  <c r="I19" i="185"/>
  <c r="H19" i="185"/>
  <c r="G19" i="185"/>
  <c r="F19" i="185"/>
  <c r="E19" i="185"/>
  <c r="D19" i="185"/>
  <c r="C19" i="185"/>
  <c r="B19" i="185"/>
  <c r="V18" i="185"/>
  <c r="U18" i="185"/>
  <c r="T18" i="185"/>
  <c r="S18" i="185"/>
  <c r="R18" i="185"/>
  <c r="Q18" i="185"/>
  <c r="P18" i="185"/>
  <c r="O18" i="185"/>
  <c r="N18" i="185"/>
  <c r="M18" i="185"/>
  <c r="L18" i="185"/>
  <c r="K18" i="185"/>
  <c r="J18" i="185"/>
  <c r="I18" i="185"/>
  <c r="H18" i="185"/>
  <c r="G18" i="185"/>
  <c r="F18" i="185"/>
  <c r="E18" i="185"/>
  <c r="D18" i="185"/>
  <c r="C18" i="185"/>
  <c r="B18" i="185"/>
  <c r="W17" i="185"/>
  <c r="W8" i="185"/>
  <c r="W7" i="185"/>
  <c r="V3" i="185"/>
  <c r="A2" i="185"/>
  <c r="V65" i="185" l="1"/>
  <c r="V66" i="185" s="1"/>
  <c r="V67" i="185" s="1"/>
  <c r="L65" i="185"/>
  <c r="D65" i="185"/>
  <c r="D66" i="185" s="1"/>
  <c r="D67" i="185" s="1"/>
  <c r="X52" i="185"/>
  <c r="T65" i="185"/>
  <c r="V32" i="185"/>
  <c r="V36" i="185"/>
  <c r="G65" i="185"/>
  <c r="G66" i="185" s="1"/>
  <c r="G67" i="185" s="1"/>
  <c r="O65" i="185"/>
  <c r="O66" i="185" s="1"/>
  <c r="O67" i="185" s="1"/>
  <c r="H32" i="185"/>
  <c r="C37" i="185"/>
  <c r="C42" i="185" s="1"/>
  <c r="H33" i="185"/>
  <c r="D37" i="185"/>
  <c r="D42" i="185" s="1"/>
  <c r="H31" i="185"/>
  <c r="I31" i="185" s="1"/>
  <c r="W10" i="185"/>
  <c r="H15" i="185"/>
  <c r="H20" i="185" s="1"/>
  <c r="Q15" i="185"/>
  <c r="Q20" i="185" s="1"/>
  <c r="U15" i="185"/>
  <c r="U21" i="185" s="1"/>
  <c r="U22" i="185" s="1"/>
  <c r="U23" i="185" s="1"/>
  <c r="T15" i="185"/>
  <c r="T21" i="185" s="1"/>
  <c r="T22" i="185" s="1"/>
  <c r="T23" i="185" s="1"/>
  <c r="L15" i="185"/>
  <c r="L20" i="185" s="1"/>
  <c r="D15" i="185"/>
  <c r="D21" i="185" s="1"/>
  <c r="D22" i="185" s="1"/>
  <c r="D23" i="185" s="1"/>
  <c r="S15" i="185"/>
  <c r="S20" i="185" s="1"/>
  <c r="C15" i="185"/>
  <c r="C20" i="185" s="1"/>
  <c r="O15" i="185"/>
  <c r="O20" i="185" s="1"/>
  <c r="P15" i="185"/>
  <c r="P20" i="185" s="1"/>
  <c r="G15" i="185"/>
  <c r="G20" i="185" s="1"/>
  <c r="R15" i="185"/>
  <c r="R21" i="185" s="1"/>
  <c r="R22" i="185" s="1"/>
  <c r="R23" i="185" s="1"/>
  <c r="J15" i="185"/>
  <c r="J21" i="185" s="1"/>
  <c r="J22" i="185" s="1"/>
  <c r="J23" i="185" s="1"/>
  <c r="L66" i="185"/>
  <c r="L67" i="185" s="1"/>
  <c r="T66" i="185"/>
  <c r="T67" i="185" s="1"/>
  <c r="F66" i="185"/>
  <c r="F67" i="185" s="1"/>
  <c r="I65" i="185"/>
  <c r="I66" i="185" s="1"/>
  <c r="I67" i="185" s="1"/>
  <c r="Q65" i="185"/>
  <c r="Q66" i="185" s="1"/>
  <c r="Q67" i="185" s="1"/>
  <c r="X55" i="185"/>
  <c r="B65" i="185"/>
  <c r="B66" i="185" s="1"/>
  <c r="B67" i="185" s="1"/>
  <c r="J65" i="185"/>
  <c r="J66" i="185" s="1"/>
  <c r="J67" i="185" s="1"/>
  <c r="R65" i="185"/>
  <c r="R66" i="185" s="1"/>
  <c r="R67" i="185" s="1"/>
  <c r="X56" i="185"/>
  <c r="X57" i="185"/>
  <c r="D64" i="185"/>
  <c r="H65" i="185"/>
  <c r="H66" i="185" s="1"/>
  <c r="H67" i="185" s="1"/>
  <c r="P65" i="185"/>
  <c r="P66" i="185" s="1"/>
  <c r="P67" i="185" s="1"/>
  <c r="C65" i="185"/>
  <c r="C66" i="185" s="1"/>
  <c r="C67" i="185" s="1"/>
  <c r="K65" i="185"/>
  <c r="K66" i="185" s="1"/>
  <c r="K67" i="185" s="1"/>
  <c r="S65" i="185"/>
  <c r="S66" i="185" s="1"/>
  <c r="S67" i="185" s="1"/>
  <c r="L64" i="185"/>
  <c r="E65" i="185"/>
  <c r="E66" i="185" s="1"/>
  <c r="E67" i="185" s="1"/>
  <c r="M65" i="185"/>
  <c r="M66" i="185" s="1"/>
  <c r="M67" i="185" s="1"/>
  <c r="U65" i="185"/>
  <c r="U66" i="185" s="1"/>
  <c r="U67" i="185" s="1"/>
  <c r="W59" i="185"/>
  <c r="W60" i="185" s="1"/>
  <c r="T64" i="185"/>
  <c r="R43" i="185"/>
  <c r="R45" i="185" s="1"/>
  <c r="R46" i="185" s="1"/>
  <c r="S43" i="185"/>
  <c r="S45" i="185" s="1"/>
  <c r="S46" i="185" s="1"/>
  <c r="V34" i="185"/>
  <c r="Q43" i="185"/>
  <c r="Q45" i="185" s="1"/>
  <c r="Q46" i="185" s="1"/>
  <c r="T43" i="185"/>
  <c r="T45" i="185" s="1"/>
  <c r="T46" i="185" s="1"/>
  <c r="U37" i="185"/>
  <c r="U40" i="185" s="1"/>
  <c r="O43" i="185"/>
  <c r="O45" i="185" s="1"/>
  <c r="O46" i="185" s="1"/>
  <c r="P43" i="185"/>
  <c r="P45" i="185" s="1"/>
  <c r="P46" i="185" s="1"/>
  <c r="V30" i="185"/>
  <c r="I30" i="185"/>
  <c r="X8" i="185"/>
  <c r="W9" i="185"/>
  <c r="P21" i="185"/>
  <c r="P22" i="185" s="1"/>
  <c r="P23" i="185" s="1"/>
  <c r="J20" i="185"/>
  <c r="G64" i="185"/>
  <c r="O64" i="185"/>
  <c r="N65" i="185"/>
  <c r="N66" i="185" s="1"/>
  <c r="N67" i="185" s="1"/>
  <c r="X54" i="185"/>
  <c r="X58" i="185"/>
  <c r="F64" i="185"/>
  <c r="V64" i="185"/>
  <c r="V31" i="185"/>
  <c r="V35" i="185"/>
  <c r="V33" i="185"/>
  <c r="X53" i="185"/>
  <c r="G21" i="185" l="1"/>
  <c r="G22" i="185" s="1"/>
  <c r="G23" i="185" s="1"/>
  <c r="U38" i="185"/>
  <c r="T20" i="185"/>
  <c r="D20" i="185"/>
  <c r="H21" i="185"/>
  <c r="H22" i="185" s="1"/>
  <c r="H23" i="185" s="1"/>
  <c r="O21" i="185"/>
  <c r="O22" i="185" s="1"/>
  <c r="O23" i="185" s="1"/>
  <c r="I33" i="185"/>
  <c r="G37" i="185"/>
  <c r="F37" i="185"/>
  <c r="E37" i="185"/>
  <c r="D43" i="185"/>
  <c r="D45" i="185" s="1"/>
  <c r="D46" i="185" s="1"/>
  <c r="C43" i="185"/>
  <c r="C45" i="185" s="1"/>
  <c r="C46" i="185" s="1"/>
  <c r="I32" i="185"/>
  <c r="R20" i="185"/>
  <c r="U20" i="185"/>
  <c r="L21" i="185"/>
  <c r="L22" i="185" s="1"/>
  <c r="L23" i="185" s="1"/>
  <c r="X10" i="185"/>
  <c r="C21" i="185"/>
  <c r="C22" i="185" s="1"/>
  <c r="C23" i="185" s="1"/>
  <c r="N15" i="185"/>
  <c r="I15" i="185"/>
  <c r="Q21" i="185"/>
  <c r="Q22" i="185" s="1"/>
  <c r="Q23" i="185" s="1"/>
  <c r="S21" i="185"/>
  <c r="S22" i="185" s="1"/>
  <c r="S23" i="185" s="1"/>
  <c r="K15" i="185"/>
  <c r="M15" i="185"/>
  <c r="E15" i="185"/>
  <c r="W12" i="185"/>
  <c r="W11" i="185"/>
  <c r="X11" i="185" s="1"/>
  <c r="F15" i="185"/>
  <c r="V15" i="185"/>
  <c r="X9" i="185"/>
  <c r="W62" i="185"/>
  <c r="G42" i="185" l="1"/>
  <c r="G43" i="185"/>
  <c r="G45" i="185" s="1"/>
  <c r="G46" i="185" s="1"/>
  <c r="E42" i="185"/>
  <c r="E43" i="185"/>
  <c r="E45" i="185" s="1"/>
  <c r="E46" i="185" s="1"/>
  <c r="F42" i="185"/>
  <c r="F43" i="185"/>
  <c r="F45" i="185" s="1"/>
  <c r="F46" i="185" s="1"/>
  <c r="H34" i="185"/>
  <c r="I34" i="185" s="1"/>
  <c r="H35" i="185"/>
  <c r="X12" i="185"/>
  <c r="E21" i="185"/>
  <c r="E22" i="185" s="1"/>
  <c r="E23" i="185" s="1"/>
  <c r="E20" i="185"/>
  <c r="K20" i="185"/>
  <c r="K21" i="185"/>
  <c r="K22" i="185" s="1"/>
  <c r="K23" i="185" s="1"/>
  <c r="V20" i="185"/>
  <c r="V21" i="185"/>
  <c r="V22" i="185" s="1"/>
  <c r="V23" i="185" s="1"/>
  <c r="F20" i="185"/>
  <c r="F21" i="185"/>
  <c r="F22" i="185" s="1"/>
  <c r="F23" i="185" s="1"/>
  <c r="I20" i="185"/>
  <c r="I21" i="185"/>
  <c r="I22" i="185" s="1"/>
  <c r="I23" i="185" s="1"/>
  <c r="N20" i="185"/>
  <c r="N21" i="185"/>
  <c r="N22" i="185" s="1"/>
  <c r="N23" i="185" s="1"/>
  <c r="W14" i="185"/>
  <c r="W13" i="185"/>
  <c r="X13" i="185" s="1"/>
  <c r="M21" i="185"/>
  <c r="M22" i="185" s="1"/>
  <c r="M23" i="185" s="1"/>
  <c r="M20" i="185"/>
  <c r="I35" i="185" l="1"/>
  <c r="H36" i="185"/>
  <c r="I36" i="185" s="1"/>
  <c r="B37" i="185"/>
  <c r="W15" i="185"/>
  <c r="B15" i="185"/>
  <c r="X14" i="185"/>
  <c r="B42" i="185" l="1"/>
  <c r="H37" i="185"/>
  <c r="B43" i="185"/>
  <c r="B45" i="185" s="1"/>
  <c r="B46" i="185" s="1"/>
  <c r="B21" i="185"/>
  <c r="B22" i="185" s="1"/>
  <c r="B23" i="185" s="1"/>
  <c r="B20" i="185"/>
  <c r="W18" i="185"/>
  <c r="W16" i="185"/>
  <c r="H38" i="185" l="1"/>
  <c r="H40" i="185"/>
  <c r="B18" i="184" l="1"/>
  <c r="B19" i="184"/>
  <c r="W51" i="184" l="1"/>
  <c r="U29" i="184"/>
  <c r="H29" i="184"/>
  <c r="C9" i="184"/>
  <c r="D9" i="184"/>
  <c r="E9" i="184"/>
  <c r="F9" i="184"/>
  <c r="G9" i="184"/>
  <c r="H9" i="184"/>
  <c r="I9" i="184"/>
  <c r="J9" i="184"/>
  <c r="K9" i="184"/>
  <c r="M9" i="184"/>
  <c r="O9" i="184"/>
  <c r="P9" i="184"/>
  <c r="R9" i="184"/>
  <c r="T9" i="184"/>
  <c r="U9" i="184"/>
  <c r="V9" i="184"/>
  <c r="B9" i="184"/>
  <c r="B15" i="184" s="1"/>
  <c r="B20" i="184" s="1"/>
  <c r="W7" i="184"/>
  <c r="B21" i="184" l="1"/>
  <c r="V63" i="184"/>
  <c r="U63" i="184"/>
  <c r="T63" i="184"/>
  <c r="S63" i="184"/>
  <c r="R63" i="184"/>
  <c r="Q63" i="184"/>
  <c r="P63" i="184"/>
  <c r="O63" i="184"/>
  <c r="N63" i="184"/>
  <c r="M63" i="184"/>
  <c r="L63" i="184"/>
  <c r="K63" i="184"/>
  <c r="J63" i="184"/>
  <c r="I63" i="184"/>
  <c r="H63" i="184"/>
  <c r="G63" i="184"/>
  <c r="F63" i="184"/>
  <c r="E63" i="184"/>
  <c r="D63" i="184"/>
  <c r="C63" i="184"/>
  <c r="B63" i="184"/>
  <c r="V62" i="184"/>
  <c r="U62" i="184"/>
  <c r="T62" i="184"/>
  <c r="S62" i="184"/>
  <c r="R62" i="184"/>
  <c r="Q62" i="184"/>
  <c r="P62" i="184"/>
  <c r="O62" i="184"/>
  <c r="N62" i="184"/>
  <c r="M62" i="184"/>
  <c r="L62" i="184"/>
  <c r="K62" i="184"/>
  <c r="J62" i="184"/>
  <c r="I62" i="184"/>
  <c r="H62" i="184"/>
  <c r="G62" i="184"/>
  <c r="F62" i="184"/>
  <c r="E62" i="184"/>
  <c r="D62" i="184"/>
  <c r="C62" i="184"/>
  <c r="B62" i="184"/>
  <c r="W61" i="184"/>
  <c r="V59" i="184"/>
  <c r="U59" i="184"/>
  <c r="U64" i="184" s="1"/>
  <c r="T59" i="184"/>
  <c r="T64" i="184" s="1"/>
  <c r="S59" i="184"/>
  <c r="S64" i="184" s="1"/>
  <c r="R59" i="184"/>
  <c r="R64" i="184" s="1"/>
  <c r="Q59" i="184"/>
  <c r="Q64" i="184" s="1"/>
  <c r="P59" i="184"/>
  <c r="P64" i="184" s="1"/>
  <c r="O59" i="184"/>
  <c r="O64" i="184" s="1"/>
  <c r="N59" i="184"/>
  <c r="M59" i="184"/>
  <c r="M64" i="184" s="1"/>
  <c r="L59" i="184"/>
  <c r="L64" i="184" s="1"/>
  <c r="K59" i="184"/>
  <c r="K64" i="184" s="1"/>
  <c r="J59" i="184"/>
  <c r="J64" i="184" s="1"/>
  <c r="I59" i="184"/>
  <c r="I64" i="184" s="1"/>
  <c r="H59" i="184"/>
  <c r="H64" i="184" s="1"/>
  <c r="G59" i="184"/>
  <c r="G64" i="184" s="1"/>
  <c r="F59" i="184"/>
  <c r="E59" i="184"/>
  <c r="E64" i="184" s="1"/>
  <c r="D59" i="184"/>
  <c r="D64" i="184" s="1"/>
  <c r="C59" i="184"/>
  <c r="C64" i="184" s="1"/>
  <c r="B59" i="184"/>
  <c r="B64" i="184" s="1"/>
  <c r="W58" i="184"/>
  <c r="W57" i="184"/>
  <c r="W56" i="184"/>
  <c r="W55" i="184"/>
  <c r="W54" i="184"/>
  <c r="W53" i="184"/>
  <c r="W52" i="184"/>
  <c r="T41" i="184"/>
  <c r="S41" i="184"/>
  <c r="R41" i="184"/>
  <c r="Q41" i="184"/>
  <c r="P41" i="184"/>
  <c r="O41" i="184"/>
  <c r="G41" i="184"/>
  <c r="F41" i="184"/>
  <c r="E41" i="184"/>
  <c r="D41" i="184"/>
  <c r="C41" i="184"/>
  <c r="B41" i="184"/>
  <c r="T40" i="184"/>
  <c r="S40" i="184"/>
  <c r="R40" i="184"/>
  <c r="Q40" i="184"/>
  <c r="P40" i="184"/>
  <c r="O40" i="184"/>
  <c r="G40" i="184"/>
  <c r="F40" i="184"/>
  <c r="E40" i="184"/>
  <c r="D40" i="184"/>
  <c r="C40" i="184"/>
  <c r="B40" i="184"/>
  <c r="U39" i="184"/>
  <c r="H39" i="184"/>
  <c r="T37" i="184"/>
  <c r="T42" i="184" s="1"/>
  <c r="T44" i="184" s="1"/>
  <c r="S37" i="184"/>
  <c r="S42" i="184" s="1"/>
  <c r="S44" i="184" s="1"/>
  <c r="R37" i="184"/>
  <c r="R42" i="184" s="1"/>
  <c r="R44" i="184" s="1"/>
  <c r="Q37" i="184"/>
  <c r="Q42" i="184" s="1"/>
  <c r="Q44" i="184" s="1"/>
  <c r="P37" i="184"/>
  <c r="P42" i="184" s="1"/>
  <c r="P44" i="184" s="1"/>
  <c r="O37" i="184"/>
  <c r="G37" i="184"/>
  <c r="G42" i="184" s="1"/>
  <c r="F37" i="184"/>
  <c r="F42" i="184" s="1"/>
  <c r="E37" i="184"/>
  <c r="E42" i="184" s="1"/>
  <c r="D37" i="184"/>
  <c r="D42" i="184" s="1"/>
  <c r="C37" i="184"/>
  <c r="C42" i="184" s="1"/>
  <c r="B37" i="184"/>
  <c r="B42" i="184" s="1"/>
  <c r="U36" i="184"/>
  <c r="H36" i="184"/>
  <c r="U35" i="184"/>
  <c r="H35" i="184"/>
  <c r="U34" i="184"/>
  <c r="H34" i="184"/>
  <c r="U33" i="184"/>
  <c r="H33" i="184"/>
  <c r="U32" i="184"/>
  <c r="V32" i="184" s="1"/>
  <c r="H32" i="184"/>
  <c r="U31" i="184"/>
  <c r="H31" i="184"/>
  <c r="U30" i="184"/>
  <c r="V30" i="184" s="1"/>
  <c r="H30" i="184"/>
  <c r="I30" i="184" s="1"/>
  <c r="V19" i="184"/>
  <c r="U19" i="184"/>
  <c r="T19" i="184"/>
  <c r="S19" i="184"/>
  <c r="R19" i="184"/>
  <c r="Q19" i="184"/>
  <c r="P19" i="184"/>
  <c r="O19" i="184"/>
  <c r="N19" i="184"/>
  <c r="M19" i="184"/>
  <c r="L19" i="184"/>
  <c r="K19" i="184"/>
  <c r="J19" i="184"/>
  <c r="I19" i="184"/>
  <c r="H19" i="184"/>
  <c r="G19" i="184"/>
  <c r="F19" i="184"/>
  <c r="E19" i="184"/>
  <c r="D19" i="184"/>
  <c r="C19" i="184"/>
  <c r="V18" i="184"/>
  <c r="U18" i="184"/>
  <c r="T18" i="184"/>
  <c r="S18" i="184"/>
  <c r="R18" i="184"/>
  <c r="Q18" i="184"/>
  <c r="P18" i="184"/>
  <c r="O18" i="184"/>
  <c r="N18" i="184"/>
  <c r="M18" i="184"/>
  <c r="L18" i="184"/>
  <c r="K18" i="184"/>
  <c r="J18" i="184"/>
  <c r="I18" i="184"/>
  <c r="H18" i="184"/>
  <c r="G18" i="184"/>
  <c r="F18" i="184"/>
  <c r="E18" i="184"/>
  <c r="D18" i="184"/>
  <c r="C18" i="184"/>
  <c r="W17" i="184"/>
  <c r="V15" i="184"/>
  <c r="V20" i="184" s="1"/>
  <c r="U15" i="184"/>
  <c r="U20" i="184" s="1"/>
  <c r="T15" i="184"/>
  <c r="T21" i="184" s="1"/>
  <c r="S15" i="184"/>
  <c r="S20" i="184" s="1"/>
  <c r="R15" i="184"/>
  <c r="R20" i="184" s="1"/>
  <c r="Q15" i="184"/>
  <c r="P15" i="184"/>
  <c r="P21" i="184" s="1"/>
  <c r="O15" i="184"/>
  <c r="O20" i="184" s="1"/>
  <c r="N15" i="184"/>
  <c r="N20" i="184" s="1"/>
  <c r="M15" i="184"/>
  <c r="M20" i="184" s="1"/>
  <c r="L15" i="184"/>
  <c r="L21" i="184" s="1"/>
  <c r="K15" i="184"/>
  <c r="K20" i="184" s="1"/>
  <c r="J15" i="184"/>
  <c r="J20" i="184" s="1"/>
  <c r="I15" i="184"/>
  <c r="H15" i="184"/>
  <c r="H21" i="184" s="1"/>
  <c r="G15" i="184"/>
  <c r="G20" i="184" s="1"/>
  <c r="F15" i="184"/>
  <c r="F20" i="184" s="1"/>
  <c r="E15" i="184"/>
  <c r="E20" i="184" s="1"/>
  <c r="D15" i="184"/>
  <c r="D21" i="184" s="1"/>
  <c r="C15" i="184"/>
  <c r="C20" i="184" s="1"/>
  <c r="W14" i="184"/>
  <c r="W13" i="184"/>
  <c r="W12" i="184"/>
  <c r="W11" i="184"/>
  <c r="W10" i="184"/>
  <c r="W9" i="184"/>
  <c r="W8" i="184"/>
  <c r="X8" i="184" s="1"/>
  <c r="V3" i="184"/>
  <c r="A2" i="184"/>
  <c r="B22" i="184" s="1"/>
  <c r="B23" i="184" s="1"/>
  <c r="A2" i="183"/>
  <c r="I21" i="184" l="1"/>
  <c r="I22" i="184" s="1"/>
  <c r="I23" i="184" s="1"/>
  <c r="Q21" i="184"/>
  <c r="V31" i="184"/>
  <c r="X58" i="184"/>
  <c r="X57" i="184"/>
  <c r="X56" i="184"/>
  <c r="X55" i="184"/>
  <c r="W59" i="184"/>
  <c r="W60" i="184" s="1"/>
  <c r="X54" i="184"/>
  <c r="X53" i="184"/>
  <c r="V34" i="184"/>
  <c r="V36" i="184"/>
  <c r="I35" i="184"/>
  <c r="I33" i="184"/>
  <c r="I31" i="184"/>
  <c r="H22" i="184"/>
  <c r="H23" i="184" s="1"/>
  <c r="P22" i="184"/>
  <c r="P23" i="184" s="1"/>
  <c r="Q22" i="184"/>
  <c r="Q23" i="184" s="1"/>
  <c r="D22" i="184"/>
  <c r="D23" i="184" s="1"/>
  <c r="L22" i="184"/>
  <c r="L23" i="184" s="1"/>
  <c r="T22" i="184"/>
  <c r="T23" i="184" s="1"/>
  <c r="X13" i="184"/>
  <c r="X11" i="184"/>
  <c r="X12" i="184"/>
  <c r="X14" i="184"/>
  <c r="J21" i="184"/>
  <c r="J22" i="184" s="1"/>
  <c r="J23" i="184" s="1"/>
  <c r="X10" i="184"/>
  <c r="E65" i="184"/>
  <c r="E66" i="184" s="1"/>
  <c r="E67" i="184" s="1"/>
  <c r="M65" i="184"/>
  <c r="M66" i="184" s="1"/>
  <c r="M67" i="184" s="1"/>
  <c r="U65" i="184"/>
  <c r="U66" i="184" s="1"/>
  <c r="U67" i="184" s="1"/>
  <c r="G65" i="184"/>
  <c r="G66" i="184" s="1"/>
  <c r="G67" i="184" s="1"/>
  <c r="O65" i="184"/>
  <c r="O66" i="184" s="1"/>
  <c r="O67" i="184" s="1"/>
  <c r="H65" i="184"/>
  <c r="H66" i="184" s="1"/>
  <c r="H67" i="184" s="1"/>
  <c r="P65" i="184"/>
  <c r="P66" i="184" s="1"/>
  <c r="P67" i="184" s="1"/>
  <c r="B65" i="184"/>
  <c r="B66" i="184" s="1"/>
  <c r="B67" i="184" s="1"/>
  <c r="J65" i="184"/>
  <c r="J66" i="184" s="1"/>
  <c r="J67" i="184" s="1"/>
  <c r="R65" i="184"/>
  <c r="R66" i="184" s="1"/>
  <c r="R67" i="184" s="1"/>
  <c r="C65" i="184"/>
  <c r="C66" i="184" s="1"/>
  <c r="C67" i="184" s="1"/>
  <c r="K65" i="184"/>
  <c r="K66" i="184" s="1"/>
  <c r="K67" i="184" s="1"/>
  <c r="S65" i="184"/>
  <c r="S66" i="184" s="1"/>
  <c r="S67" i="184" s="1"/>
  <c r="V35" i="184"/>
  <c r="U37" i="184"/>
  <c r="U38" i="184" s="1"/>
  <c r="V33" i="184"/>
  <c r="O43" i="184"/>
  <c r="O45" i="184" s="1"/>
  <c r="O46" i="184" s="1"/>
  <c r="P43" i="184"/>
  <c r="P45" i="184" s="1"/>
  <c r="P46" i="184" s="1"/>
  <c r="Q43" i="184"/>
  <c r="Q45" i="184" s="1"/>
  <c r="Q46" i="184" s="1"/>
  <c r="R43" i="184"/>
  <c r="R45" i="184" s="1"/>
  <c r="R46" i="184" s="1"/>
  <c r="S43" i="184"/>
  <c r="S45" i="184" s="1"/>
  <c r="S46" i="184" s="1"/>
  <c r="T43" i="184"/>
  <c r="T45" i="184" s="1"/>
  <c r="T46" i="184" s="1"/>
  <c r="I36" i="184"/>
  <c r="I34" i="184"/>
  <c r="B43" i="184"/>
  <c r="C43" i="184"/>
  <c r="D43" i="184"/>
  <c r="D45" i="184" s="1"/>
  <c r="E43" i="184"/>
  <c r="I32" i="184"/>
  <c r="F43" i="184"/>
  <c r="G43" i="184"/>
  <c r="R21" i="184"/>
  <c r="R22" i="184" s="1"/>
  <c r="R23" i="184" s="1"/>
  <c r="C21" i="184"/>
  <c r="C22" i="184" s="1"/>
  <c r="C23" i="184" s="1"/>
  <c r="K21" i="184"/>
  <c r="K22" i="184" s="1"/>
  <c r="K23" i="184" s="1"/>
  <c r="S21" i="184"/>
  <c r="S22" i="184" s="1"/>
  <c r="S23" i="184" s="1"/>
  <c r="H20" i="184"/>
  <c r="L20" i="184"/>
  <c r="U21" i="184"/>
  <c r="U22" i="184" s="1"/>
  <c r="U23" i="184" s="1"/>
  <c r="W15" i="184"/>
  <c r="W16" i="184" s="1"/>
  <c r="X9" i="184"/>
  <c r="E21" i="184"/>
  <c r="E22" i="184" s="1"/>
  <c r="E23" i="184" s="1"/>
  <c r="F21" i="184"/>
  <c r="F22" i="184" s="1"/>
  <c r="F23" i="184" s="1"/>
  <c r="N21" i="184"/>
  <c r="N22" i="184" s="1"/>
  <c r="N23" i="184" s="1"/>
  <c r="V21" i="184"/>
  <c r="V22" i="184" s="1"/>
  <c r="V23" i="184" s="1"/>
  <c r="P20" i="184"/>
  <c r="M21" i="184"/>
  <c r="M22" i="184" s="1"/>
  <c r="M23" i="184" s="1"/>
  <c r="D20" i="184"/>
  <c r="T20" i="184"/>
  <c r="F65" i="184"/>
  <c r="F66" i="184" s="1"/>
  <c r="F67" i="184" s="1"/>
  <c r="N65" i="184"/>
  <c r="N66" i="184" s="1"/>
  <c r="N67" i="184" s="1"/>
  <c r="V65" i="184"/>
  <c r="V66" i="184" s="1"/>
  <c r="V67" i="184" s="1"/>
  <c r="W62" i="184"/>
  <c r="H37" i="184"/>
  <c r="I20" i="184"/>
  <c r="Q20" i="184"/>
  <c r="N64" i="184"/>
  <c r="V64" i="184"/>
  <c r="I65" i="184"/>
  <c r="I66" i="184" s="1"/>
  <c r="I67" i="184" s="1"/>
  <c r="Q65" i="184"/>
  <c r="Q66" i="184" s="1"/>
  <c r="Q67" i="184" s="1"/>
  <c r="F64" i="184"/>
  <c r="G21" i="184"/>
  <c r="G22" i="184" s="1"/>
  <c r="G23" i="184" s="1"/>
  <c r="O21" i="184"/>
  <c r="O22" i="184" s="1"/>
  <c r="O23" i="184" s="1"/>
  <c r="O42" i="184"/>
  <c r="O44" i="184" s="1"/>
  <c r="D65" i="184"/>
  <c r="D66" i="184" s="1"/>
  <c r="D67" i="184" s="1"/>
  <c r="L65" i="184"/>
  <c r="L66" i="184" s="1"/>
  <c r="L67" i="184" s="1"/>
  <c r="T65" i="184"/>
  <c r="T66" i="184" s="1"/>
  <c r="T67" i="184" s="1"/>
  <c r="X52" i="184"/>
  <c r="U40" i="184" l="1"/>
  <c r="W18" i="184"/>
  <c r="H40" i="184"/>
  <c r="H38" i="184"/>
  <c r="B11" i="162" l="1"/>
  <c r="P37" i="183" l="1"/>
  <c r="Q37" i="183"/>
  <c r="Q42" i="183" s="1"/>
  <c r="R37" i="183"/>
  <c r="R42" i="183" s="1"/>
  <c r="S37" i="183"/>
  <c r="S42" i="183" s="1"/>
  <c r="T37" i="183"/>
  <c r="T42" i="183"/>
  <c r="P42" i="183" l="1"/>
  <c r="P44" i="183" s="1"/>
  <c r="V63" i="183"/>
  <c r="U63" i="183"/>
  <c r="T63" i="183"/>
  <c r="S63" i="183"/>
  <c r="R63" i="183"/>
  <c r="Q63" i="183"/>
  <c r="P63" i="183"/>
  <c r="O63" i="183"/>
  <c r="N63" i="183"/>
  <c r="M63" i="183"/>
  <c r="L63" i="183"/>
  <c r="K63" i="183"/>
  <c r="J63" i="183"/>
  <c r="I63" i="183"/>
  <c r="H63" i="183"/>
  <c r="G63" i="183"/>
  <c r="F63" i="183"/>
  <c r="E63" i="183"/>
  <c r="D63" i="183"/>
  <c r="C63" i="183"/>
  <c r="B63" i="183"/>
  <c r="V62" i="183"/>
  <c r="U62" i="183"/>
  <c r="T62" i="183"/>
  <c r="S62" i="183"/>
  <c r="R62" i="183"/>
  <c r="Q62" i="183"/>
  <c r="P62" i="183"/>
  <c r="O62" i="183"/>
  <c r="N62" i="183"/>
  <c r="M62" i="183"/>
  <c r="L62" i="183"/>
  <c r="K62" i="183"/>
  <c r="J62" i="183"/>
  <c r="I62" i="183"/>
  <c r="H62" i="183"/>
  <c r="G62" i="183"/>
  <c r="F62" i="183"/>
  <c r="E62" i="183"/>
  <c r="D62" i="183"/>
  <c r="C62" i="183"/>
  <c r="B62" i="183"/>
  <c r="W61" i="183"/>
  <c r="V59" i="183"/>
  <c r="V64" i="183" s="1"/>
  <c r="U59" i="183"/>
  <c r="U64" i="183" s="1"/>
  <c r="T59" i="183"/>
  <c r="T64" i="183" s="1"/>
  <c r="S59" i="183"/>
  <c r="R59" i="183"/>
  <c r="R64" i="183" s="1"/>
  <c r="Q59" i="183"/>
  <c r="Q64" i="183" s="1"/>
  <c r="P59" i="183"/>
  <c r="O59" i="183"/>
  <c r="O64" i="183" s="1"/>
  <c r="N59" i="183"/>
  <c r="N64" i="183" s="1"/>
  <c r="M59" i="183"/>
  <c r="M64" i="183" s="1"/>
  <c r="L59" i="183"/>
  <c r="L64" i="183" s="1"/>
  <c r="K59" i="183"/>
  <c r="K64" i="183" s="1"/>
  <c r="J59" i="183"/>
  <c r="J64" i="183" s="1"/>
  <c r="I59" i="183"/>
  <c r="I64" i="183" s="1"/>
  <c r="H59" i="183"/>
  <c r="G59" i="183"/>
  <c r="G64" i="183" s="1"/>
  <c r="F59" i="183"/>
  <c r="F64" i="183" s="1"/>
  <c r="E59" i="183"/>
  <c r="D59" i="183"/>
  <c r="D64" i="183" s="1"/>
  <c r="C59" i="183"/>
  <c r="C64" i="183" s="1"/>
  <c r="B59" i="183"/>
  <c r="B64" i="183" s="1"/>
  <c r="W58" i="183"/>
  <c r="W57" i="183"/>
  <c r="W56" i="183"/>
  <c r="W55" i="183"/>
  <c r="W54" i="183"/>
  <c r="W53" i="183"/>
  <c r="W52" i="183"/>
  <c r="T41" i="183"/>
  <c r="S41" i="183"/>
  <c r="R41" i="183"/>
  <c r="Q41" i="183"/>
  <c r="P41" i="183"/>
  <c r="O41" i="183"/>
  <c r="G41" i="183"/>
  <c r="F41" i="183"/>
  <c r="E41" i="183"/>
  <c r="D41" i="183"/>
  <c r="C41" i="183"/>
  <c r="B41" i="183"/>
  <c r="T40" i="183"/>
  <c r="S40" i="183"/>
  <c r="R40" i="183"/>
  <c r="Q40" i="183"/>
  <c r="P40" i="183"/>
  <c r="O40" i="183"/>
  <c r="G40" i="183"/>
  <c r="F40" i="183"/>
  <c r="E40" i="183"/>
  <c r="D40" i="183"/>
  <c r="C40" i="183"/>
  <c r="B40" i="183"/>
  <c r="U39" i="183"/>
  <c r="H39" i="183"/>
  <c r="T44" i="183"/>
  <c r="S44" i="183"/>
  <c r="R44" i="183"/>
  <c r="Q44" i="183"/>
  <c r="O37" i="183"/>
  <c r="O42" i="183" s="1"/>
  <c r="O44" i="183" s="1"/>
  <c r="G37" i="183"/>
  <c r="F37" i="183"/>
  <c r="E37" i="183"/>
  <c r="D37" i="183"/>
  <c r="C37" i="183"/>
  <c r="B37" i="183"/>
  <c r="U36" i="183"/>
  <c r="H36" i="183"/>
  <c r="U35" i="183"/>
  <c r="H35" i="183"/>
  <c r="U34" i="183"/>
  <c r="H34" i="183"/>
  <c r="U33" i="183"/>
  <c r="H33" i="183"/>
  <c r="U32" i="183"/>
  <c r="H32" i="183"/>
  <c r="U31" i="183"/>
  <c r="H31" i="183"/>
  <c r="U30" i="183"/>
  <c r="V30" i="183" s="1"/>
  <c r="H30" i="183"/>
  <c r="I30" i="183" s="1"/>
  <c r="V19" i="183"/>
  <c r="U19" i="183"/>
  <c r="T19" i="183"/>
  <c r="S19" i="183"/>
  <c r="R19" i="183"/>
  <c r="Q19" i="183"/>
  <c r="P19" i="183"/>
  <c r="O19" i="183"/>
  <c r="N19" i="183"/>
  <c r="M19" i="183"/>
  <c r="L19" i="183"/>
  <c r="K19" i="183"/>
  <c r="J19" i="183"/>
  <c r="I19" i="183"/>
  <c r="H19" i="183"/>
  <c r="G19" i="183"/>
  <c r="F19" i="183"/>
  <c r="E19" i="183"/>
  <c r="D19" i="183"/>
  <c r="C19" i="183"/>
  <c r="B19" i="183"/>
  <c r="V18" i="183"/>
  <c r="U18" i="183"/>
  <c r="T18" i="183"/>
  <c r="S18" i="183"/>
  <c r="R18" i="183"/>
  <c r="Q18" i="183"/>
  <c r="P18" i="183"/>
  <c r="O18" i="183"/>
  <c r="N18" i="183"/>
  <c r="M18" i="183"/>
  <c r="L18" i="183"/>
  <c r="K18" i="183"/>
  <c r="J18" i="183"/>
  <c r="I18" i="183"/>
  <c r="H18" i="183"/>
  <c r="G18" i="183"/>
  <c r="F18" i="183"/>
  <c r="E18" i="183"/>
  <c r="D18" i="183"/>
  <c r="C18" i="183"/>
  <c r="B18" i="183"/>
  <c r="W17" i="183"/>
  <c r="V15" i="183"/>
  <c r="U15" i="183"/>
  <c r="T15" i="183"/>
  <c r="S15" i="183"/>
  <c r="R15" i="183"/>
  <c r="Q15" i="183"/>
  <c r="P15" i="183"/>
  <c r="O15" i="183"/>
  <c r="N15" i="183"/>
  <c r="M15" i="183"/>
  <c r="L15" i="183"/>
  <c r="K15" i="183"/>
  <c r="J15" i="183"/>
  <c r="I15" i="183"/>
  <c r="H15" i="183"/>
  <c r="G15" i="183"/>
  <c r="F15" i="183"/>
  <c r="E15" i="183"/>
  <c r="D15" i="183"/>
  <c r="C15" i="183"/>
  <c r="B15" i="183"/>
  <c r="W14" i="183"/>
  <c r="W13" i="183"/>
  <c r="W12" i="183"/>
  <c r="W11" i="183"/>
  <c r="W10" i="183"/>
  <c r="W9" i="183"/>
  <c r="W8" i="183"/>
  <c r="V3" i="183"/>
  <c r="S64" i="183" l="1"/>
  <c r="E64" i="183"/>
  <c r="I36" i="183"/>
  <c r="C42" i="183"/>
  <c r="D42" i="183"/>
  <c r="E42" i="183"/>
  <c r="G42" i="183"/>
  <c r="F42" i="183"/>
  <c r="E20" i="183"/>
  <c r="F20" i="183"/>
  <c r="N20" i="183"/>
  <c r="V20" i="183"/>
  <c r="M20" i="183"/>
  <c r="U20" i="183"/>
  <c r="H20" i="183"/>
  <c r="I20" i="183"/>
  <c r="Q20" i="183"/>
  <c r="P20" i="183"/>
  <c r="B20" i="183"/>
  <c r="R20" i="183"/>
  <c r="S20" i="183"/>
  <c r="C20" i="183"/>
  <c r="K20" i="183"/>
  <c r="D20" i="183"/>
  <c r="L20" i="183"/>
  <c r="T20" i="183"/>
  <c r="J21" i="183"/>
  <c r="J22" i="183" s="1"/>
  <c r="J23" i="183" s="1"/>
  <c r="I34" i="183"/>
  <c r="V33" i="183"/>
  <c r="H65" i="183"/>
  <c r="H66" i="183" s="1"/>
  <c r="H67" i="183" s="1"/>
  <c r="P65" i="183"/>
  <c r="P66" i="183" s="1"/>
  <c r="P67" i="183" s="1"/>
  <c r="X58" i="183"/>
  <c r="V36" i="183"/>
  <c r="X55" i="183"/>
  <c r="X11" i="183"/>
  <c r="V34" i="183"/>
  <c r="X56" i="183"/>
  <c r="V35" i="183"/>
  <c r="O21" i="183"/>
  <c r="G21" i="183"/>
  <c r="V31" i="183"/>
  <c r="I32" i="183"/>
  <c r="V21" i="183"/>
  <c r="F21" i="183"/>
  <c r="X9" i="183"/>
  <c r="N21" i="183"/>
  <c r="X57" i="183"/>
  <c r="E65" i="183"/>
  <c r="E66" i="183" s="1"/>
  <c r="E67" i="183" s="1"/>
  <c r="M65" i="183"/>
  <c r="M66" i="183" s="1"/>
  <c r="M67" i="183" s="1"/>
  <c r="U65" i="183"/>
  <c r="U66" i="183" s="1"/>
  <c r="U67" i="183" s="1"/>
  <c r="W59" i="183"/>
  <c r="F65" i="183"/>
  <c r="F66" i="183" s="1"/>
  <c r="F67" i="183" s="1"/>
  <c r="N65" i="183"/>
  <c r="N66" i="183" s="1"/>
  <c r="N67" i="183" s="1"/>
  <c r="V65" i="183"/>
  <c r="V66" i="183" s="1"/>
  <c r="V67" i="183" s="1"/>
  <c r="X53" i="183"/>
  <c r="G65" i="183"/>
  <c r="G66" i="183" s="1"/>
  <c r="G67" i="183" s="1"/>
  <c r="O65" i="183"/>
  <c r="O66" i="183" s="1"/>
  <c r="O67" i="183" s="1"/>
  <c r="X54" i="183"/>
  <c r="I65" i="183"/>
  <c r="I66" i="183" s="1"/>
  <c r="I67" i="183" s="1"/>
  <c r="Q65" i="183"/>
  <c r="Q66" i="183" s="1"/>
  <c r="Q67" i="183" s="1"/>
  <c r="X52" i="183"/>
  <c r="B65" i="183"/>
  <c r="B66" i="183" s="1"/>
  <c r="B67" i="183" s="1"/>
  <c r="J65" i="183"/>
  <c r="J66" i="183" s="1"/>
  <c r="J67" i="183" s="1"/>
  <c r="R65" i="183"/>
  <c r="R66" i="183" s="1"/>
  <c r="R67" i="183" s="1"/>
  <c r="O43" i="183"/>
  <c r="O45" i="183" s="1"/>
  <c r="O46" i="183" s="1"/>
  <c r="S43" i="183"/>
  <c r="S45" i="183" s="1"/>
  <c r="S46" i="183" s="1"/>
  <c r="Q43" i="183"/>
  <c r="Q45" i="183" s="1"/>
  <c r="Q46" i="183" s="1"/>
  <c r="P43" i="183"/>
  <c r="P45" i="183" s="1"/>
  <c r="P46" i="183" s="1"/>
  <c r="V32" i="183"/>
  <c r="R43" i="183"/>
  <c r="R45" i="183" s="1"/>
  <c r="R46" i="183" s="1"/>
  <c r="T43" i="183"/>
  <c r="T45" i="183" s="1"/>
  <c r="T46" i="183" s="1"/>
  <c r="I35" i="183"/>
  <c r="B43" i="183"/>
  <c r="B45" i="183" s="1"/>
  <c r="B46" i="183" s="1"/>
  <c r="I33" i="183"/>
  <c r="C43" i="183"/>
  <c r="C45" i="183" s="1"/>
  <c r="C46" i="183" s="1"/>
  <c r="D43" i="183"/>
  <c r="D45" i="183" s="1"/>
  <c r="D46" i="183" s="1"/>
  <c r="E43" i="183"/>
  <c r="E45" i="183" s="1"/>
  <c r="E46" i="183" s="1"/>
  <c r="I31" i="183"/>
  <c r="F43" i="183"/>
  <c r="F45" i="183" s="1"/>
  <c r="F46" i="183" s="1"/>
  <c r="G43" i="183"/>
  <c r="G45" i="183" s="1"/>
  <c r="G46" i="183" s="1"/>
  <c r="H37" i="183"/>
  <c r="X13" i="183"/>
  <c r="G20" i="183"/>
  <c r="H21" i="183"/>
  <c r="P21" i="183"/>
  <c r="O20" i="183"/>
  <c r="X14" i="183"/>
  <c r="Q21" i="183"/>
  <c r="X10" i="183"/>
  <c r="C21" i="183"/>
  <c r="K21" i="183"/>
  <c r="S21" i="183"/>
  <c r="D21" i="183"/>
  <c r="L21" i="183"/>
  <c r="T21" i="183"/>
  <c r="I21" i="183"/>
  <c r="E21" i="183"/>
  <c r="M21" i="183"/>
  <c r="U21" i="183"/>
  <c r="R21" i="183"/>
  <c r="H64" i="183"/>
  <c r="P64" i="183"/>
  <c r="C65" i="183"/>
  <c r="C66" i="183" s="1"/>
  <c r="C67" i="183" s="1"/>
  <c r="K65" i="183"/>
  <c r="K66" i="183" s="1"/>
  <c r="K67" i="183" s="1"/>
  <c r="S65" i="183"/>
  <c r="S66" i="183" s="1"/>
  <c r="S67" i="183" s="1"/>
  <c r="B42" i="183"/>
  <c r="D65" i="183"/>
  <c r="D66" i="183" s="1"/>
  <c r="D67" i="183" s="1"/>
  <c r="L65" i="183"/>
  <c r="L66" i="183" s="1"/>
  <c r="L67" i="183" s="1"/>
  <c r="T65" i="183"/>
  <c r="T66" i="183" s="1"/>
  <c r="T67" i="183" s="1"/>
  <c r="B21" i="183"/>
  <c r="U37" i="183"/>
  <c r="X8" i="183"/>
  <c r="X12" i="183"/>
  <c r="J20" i="183"/>
  <c r="W15" i="183"/>
  <c r="W22" i="182"/>
  <c r="W23" i="182"/>
  <c r="W24" i="182"/>
  <c r="W60" i="183" l="1"/>
  <c r="H40" i="183"/>
  <c r="G22" i="183"/>
  <c r="G23" i="183" s="1"/>
  <c r="O22" i="183"/>
  <c r="O23" i="183" s="1"/>
  <c r="E22" i="183"/>
  <c r="E23" i="183" s="1"/>
  <c r="I22" i="183"/>
  <c r="I23" i="183" s="1"/>
  <c r="Q22" i="183"/>
  <c r="Q23" i="183" s="1"/>
  <c r="T22" i="183"/>
  <c r="T23" i="183" s="1"/>
  <c r="B22" i="183"/>
  <c r="B23" i="183" s="1"/>
  <c r="L22" i="183"/>
  <c r="L23" i="183" s="1"/>
  <c r="N22" i="183"/>
  <c r="N23" i="183" s="1"/>
  <c r="F22" i="183"/>
  <c r="F23" i="183" s="1"/>
  <c r="V22" i="183"/>
  <c r="V23" i="183" s="1"/>
  <c r="D22" i="183"/>
  <c r="D23" i="183" s="1"/>
  <c r="P22" i="183"/>
  <c r="P23" i="183" s="1"/>
  <c r="R22" i="183"/>
  <c r="R23" i="183" s="1"/>
  <c r="S22" i="183"/>
  <c r="S23" i="183" s="1"/>
  <c r="H22" i="183"/>
  <c r="H23" i="183" s="1"/>
  <c r="U22" i="183"/>
  <c r="U23" i="183" s="1"/>
  <c r="K22" i="183"/>
  <c r="K23" i="183" s="1"/>
  <c r="M22" i="183"/>
  <c r="M23" i="183" s="1"/>
  <c r="C22" i="183"/>
  <c r="C23" i="183" s="1"/>
  <c r="W62" i="183"/>
  <c r="H38" i="183"/>
  <c r="W18" i="183"/>
  <c r="W16" i="183"/>
  <c r="U40" i="183"/>
  <c r="U38" i="183"/>
  <c r="W18" i="182"/>
  <c r="X18" i="182" s="1"/>
  <c r="W19" i="182"/>
  <c r="X19" i="182" s="1"/>
  <c r="W20" i="182"/>
  <c r="X20" i="182" s="1"/>
  <c r="W21" i="182"/>
  <c r="V73" i="182"/>
  <c r="U73" i="182"/>
  <c r="T73" i="182"/>
  <c r="S73" i="182"/>
  <c r="R73" i="182"/>
  <c r="Q73" i="182"/>
  <c r="P73" i="182"/>
  <c r="O73" i="182"/>
  <c r="N73" i="182"/>
  <c r="M73" i="182"/>
  <c r="L73" i="182"/>
  <c r="K73" i="182"/>
  <c r="J73" i="182"/>
  <c r="I73" i="182"/>
  <c r="H73" i="182"/>
  <c r="G73" i="182"/>
  <c r="F73" i="182"/>
  <c r="E73" i="182"/>
  <c r="D73" i="182"/>
  <c r="C73" i="182"/>
  <c r="B73" i="182"/>
  <c r="V72" i="182"/>
  <c r="U72" i="182"/>
  <c r="T72" i="182"/>
  <c r="S72" i="182"/>
  <c r="R72" i="182"/>
  <c r="Q72" i="182"/>
  <c r="P72" i="182"/>
  <c r="O72" i="182"/>
  <c r="N72" i="182"/>
  <c r="M72" i="182"/>
  <c r="L72" i="182"/>
  <c r="K72" i="182"/>
  <c r="J72" i="182"/>
  <c r="I72" i="182"/>
  <c r="H72" i="182"/>
  <c r="G72" i="182"/>
  <c r="F72" i="182"/>
  <c r="E72" i="182"/>
  <c r="D72" i="182"/>
  <c r="C72" i="182"/>
  <c r="B72" i="182"/>
  <c r="W71" i="182"/>
  <c r="V69" i="182"/>
  <c r="V74" i="182" s="1"/>
  <c r="V76" i="182" s="1"/>
  <c r="U69" i="182"/>
  <c r="U74" i="182" s="1"/>
  <c r="U76" i="182" s="1"/>
  <c r="T69" i="182"/>
  <c r="T74" i="182" s="1"/>
  <c r="T76" i="182" s="1"/>
  <c r="S69" i="182"/>
  <c r="R69" i="182"/>
  <c r="Q69" i="182"/>
  <c r="Q74" i="182" s="1"/>
  <c r="Q76" i="182" s="1"/>
  <c r="P69" i="182"/>
  <c r="P74" i="182" s="1"/>
  <c r="P76" i="182" s="1"/>
  <c r="O69" i="182"/>
  <c r="O74" i="182" s="1"/>
  <c r="O76" i="182" s="1"/>
  <c r="N69" i="182"/>
  <c r="N74" i="182" s="1"/>
  <c r="N76" i="182" s="1"/>
  <c r="M69" i="182"/>
  <c r="M74" i="182" s="1"/>
  <c r="M76" i="182" s="1"/>
  <c r="L69" i="182"/>
  <c r="L74" i="182" s="1"/>
  <c r="L76" i="182" s="1"/>
  <c r="K69" i="182"/>
  <c r="J69" i="182"/>
  <c r="I69" i="182"/>
  <c r="I74" i="182" s="1"/>
  <c r="I76" i="182" s="1"/>
  <c r="H69" i="182"/>
  <c r="H74" i="182" s="1"/>
  <c r="H76" i="182" s="1"/>
  <c r="G69" i="182"/>
  <c r="G74" i="182" s="1"/>
  <c r="G76" i="182" s="1"/>
  <c r="F69" i="182"/>
  <c r="F74" i="182" s="1"/>
  <c r="F76" i="182" s="1"/>
  <c r="E69" i="182"/>
  <c r="E74" i="182" s="1"/>
  <c r="E76" i="182" s="1"/>
  <c r="D69" i="182"/>
  <c r="D74" i="182" s="1"/>
  <c r="D76" i="182" s="1"/>
  <c r="C69" i="182"/>
  <c r="B69" i="182"/>
  <c r="B75" i="182" s="1"/>
  <c r="W68" i="182"/>
  <c r="W67" i="182"/>
  <c r="W66" i="182"/>
  <c r="W65" i="182"/>
  <c r="X65" i="182" s="1"/>
  <c r="W64" i="182"/>
  <c r="W63" i="182"/>
  <c r="W62" i="182"/>
  <c r="X62" i="182" s="1"/>
  <c r="T52" i="182"/>
  <c r="S52" i="182"/>
  <c r="R52" i="182"/>
  <c r="Q52" i="182"/>
  <c r="P52" i="182"/>
  <c r="O52" i="182"/>
  <c r="G52" i="182"/>
  <c r="F52" i="182"/>
  <c r="E52" i="182"/>
  <c r="D52" i="182"/>
  <c r="C52" i="182"/>
  <c r="B52" i="182"/>
  <c r="T51" i="182"/>
  <c r="S51" i="182"/>
  <c r="R51" i="182"/>
  <c r="Q51" i="182"/>
  <c r="P51" i="182"/>
  <c r="O51" i="182"/>
  <c r="G51" i="182"/>
  <c r="F51" i="182"/>
  <c r="E51" i="182"/>
  <c r="D51" i="182"/>
  <c r="C51" i="182"/>
  <c r="B51" i="182"/>
  <c r="U50" i="182"/>
  <c r="H50" i="182"/>
  <c r="T48" i="182"/>
  <c r="T53" i="182" s="1"/>
  <c r="T55" i="182" s="1"/>
  <c r="S48" i="182"/>
  <c r="S53" i="182" s="1"/>
  <c r="S55" i="182" s="1"/>
  <c r="R48" i="182"/>
  <c r="R53" i="182" s="1"/>
  <c r="R55" i="182" s="1"/>
  <c r="Q48" i="182"/>
  <c r="Q53" i="182" s="1"/>
  <c r="Q55" i="182" s="1"/>
  <c r="P48" i="182"/>
  <c r="P53" i="182" s="1"/>
  <c r="P55" i="182" s="1"/>
  <c r="O48" i="182"/>
  <c r="G48" i="182"/>
  <c r="G53" i="182" s="1"/>
  <c r="G55" i="182" s="1"/>
  <c r="F48" i="182"/>
  <c r="F53" i="182" s="1"/>
  <c r="F55" i="182" s="1"/>
  <c r="E48" i="182"/>
  <c r="E53" i="182" s="1"/>
  <c r="E55" i="182" s="1"/>
  <c r="D48" i="182"/>
  <c r="D53" i="182" s="1"/>
  <c r="D55" i="182" s="1"/>
  <c r="C48" i="182"/>
  <c r="C53" i="182" s="1"/>
  <c r="C55" i="182" s="1"/>
  <c r="B48" i="182"/>
  <c r="B53" i="182" s="1"/>
  <c r="B55" i="182" s="1"/>
  <c r="U47" i="182"/>
  <c r="H47" i="182"/>
  <c r="U46" i="182"/>
  <c r="H46" i="182"/>
  <c r="U45" i="182"/>
  <c r="H45" i="182"/>
  <c r="U44" i="182"/>
  <c r="H44" i="182"/>
  <c r="U43" i="182"/>
  <c r="H43" i="182"/>
  <c r="U42" i="182"/>
  <c r="H42" i="182"/>
  <c r="U41" i="182"/>
  <c r="V41" i="182" s="1"/>
  <c r="H41" i="182"/>
  <c r="I41" i="182" s="1"/>
  <c r="V34" i="182"/>
  <c r="U34" i="182"/>
  <c r="T34" i="182"/>
  <c r="S34" i="182"/>
  <c r="R34" i="182"/>
  <c r="Q34" i="182"/>
  <c r="P34" i="182"/>
  <c r="O34" i="182"/>
  <c r="N34" i="182"/>
  <c r="M34" i="182"/>
  <c r="L34" i="182"/>
  <c r="K34" i="182"/>
  <c r="J34" i="182"/>
  <c r="I34" i="182"/>
  <c r="H34" i="182"/>
  <c r="G34" i="182"/>
  <c r="F34" i="182"/>
  <c r="E34" i="182"/>
  <c r="D34" i="182"/>
  <c r="C34" i="182"/>
  <c r="B34" i="182"/>
  <c r="V29" i="182"/>
  <c r="U29" i="182"/>
  <c r="T29" i="182"/>
  <c r="S29" i="182"/>
  <c r="R29" i="182"/>
  <c r="Q29" i="182"/>
  <c r="P29" i="182"/>
  <c r="O29" i="182"/>
  <c r="N29" i="182"/>
  <c r="M29" i="182"/>
  <c r="L29" i="182"/>
  <c r="K29" i="182"/>
  <c r="J29" i="182"/>
  <c r="I29" i="182"/>
  <c r="H29" i="182"/>
  <c r="G29" i="182"/>
  <c r="F29" i="182"/>
  <c r="E29" i="182"/>
  <c r="D29" i="182"/>
  <c r="C29" i="182"/>
  <c r="B29" i="182"/>
  <c r="V28" i="182"/>
  <c r="U28" i="182"/>
  <c r="T28" i="182"/>
  <c r="S28" i="182"/>
  <c r="R28" i="182"/>
  <c r="Q28" i="182"/>
  <c r="P28" i="182"/>
  <c r="O28" i="182"/>
  <c r="N28" i="182"/>
  <c r="M28" i="182"/>
  <c r="L28" i="182"/>
  <c r="K28" i="182"/>
  <c r="J28" i="182"/>
  <c r="I28" i="182"/>
  <c r="H28" i="182"/>
  <c r="G28" i="182"/>
  <c r="F28" i="182"/>
  <c r="E28" i="182"/>
  <c r="D28" i="182"/>
  <c r="C28" i="182"/>
  <c r="B28" i="182"/>
  <c r="W27" i="182"/>
  <c r="V25" i="182"/>
  <c r="U25" i="182"/>
  <c r="U30" i="182" s="1"/>
  <c r="U32" i="182" s="1"/>
  <c r="T25" i="182"/>
  <c r="T30" i="182" s="1"/>
  <c r="T32" i="182" s="1"/>
  <c r="S25" i="182"/>
  <c r="S30" i="182" s="1"/>
  <c r="S32" i="182" s="1"/>
  <c r="R25" i="182"/>
  <c r="R30" i="182" s="1"/>
  <c r="R32" i="182" s="1"/>
  <c r="Q25" i="182"/>
  <c r="Q30" i="182" s="1"/>
  <c r="Q32" i="182" s="1"/>
  <c r="P25" i="182"/>
  <c r="P30" i="182" s="1"/>
  <c r="P32" i="182" s="1"/>
  <c r="O25" i="182"/>
  <c r="O31" i="182" s="1"/>
  <c r="N25" i="182"/>
  <c r="M25" i="182"/>
  <c r="M30" i="182" s="1"/>
  <c r="M32" i="182" s="1"/>
  <c r="L25" i="182"/>
  <c r="L30" i="182" s="1"/>
  <c r="L32" i="182" s="1"/>
  <c r="K25" i="182"/>
  <c r="K30" i="182" s="1"/>
  <c r="K32" i="182" s="1"/>
  <c r="J25" i="182"/>
  <c r="J30" i="182" s="1"/>
  <c r="J32" i="182" s="1"/>
  <c r="I25" i="182"/>
  <c r="I30" i="182" s="1"/>
  <c r="I32" i="182" s="1"/>
  <c r="H25" i="182"/>
  <c r="G25" i="182"/>
  <c r="F25" i="182"/>
  <c r="E25" i="182"/>
  <c r="E30" i="182" s="1"/>
  <c r="E32" i="182" s="1"/>
  <c r="D25" i="182"/>
  <c r="D30" i="182" s="1"/>
  <c r="D32" i="182" s="1"/>
  <c r="C25" i="182"/>
  <c r="C30" i="182" s="1"/>
  <c r="C32" i="182" s="1"/>
  <c r="B25" i="182"/>
  <c r="B30" i="182" s="1"/>
  <c r="B32" i="182" s="1"/>
  <c r="U11" i="182"/>
  <c r="P45" i="162"/>
  <c r="D30" i="162"/>
  <c r="H29" i="162"/>
  <c r="R19" i="162"/>
  <c r="S32" i="162"/>
  <c r="G42" i="162"/>
  <c r="T26" i="162"/>
  <c r="O45" i="162"/>
  <c r="H44" i="162"/>
  <c r="D28" i="162"/>
  <c r="H42" i="162"/>
  <c r="V12" i="162"/>
  <c r="I30" i="162"/>
  <c r="W15" i="162"/>
  <c r="Q41" i="162"/>
  <c r="T29" i="162"/>
  <c r="L11" i="162"/>
  <c r="D45" i="162"/>
  <c r="Q19" i="162"/>
  <c r="N27" i="162"/>
  <c r="C12" i="162"/>
  <c r="Q29" i="162"/>
  <c r="X41" i="162"/>
  <c r="F16" i="162"/>
  <c r="H45" i="162"/>
  <c r="E17" i="162"/>
  <c r="S40" i="162"/>
  <c r="H26" i="162"/>
  <c r="I15" i="162"/>
  <c r="J11" i="162"/>
  <c r="P24" i="162"/>
  <c r="G24" i="162"/>
  <c r="J44" i="162"/>
  <c r="H25" i="162"/>
  <c r="O30" i="162"/>
  <c r="C26" i="162"/>
  <c r="G31" i="162"/>
  <c r="K14" i="162"/>
  <c r="Q27" i="162"/>
  <c r="X18" i="162"/>
  <c r="L42" i="162"/>
  <c r="T45" i="162"/>
  <c r="U17" i="162"/>
  <c r="K12" i="162"/>
  <c r="V18" i="162"/>
  <c r="G16" i="162"/>
  <c r="Q28" i="162"/>
  <c r="R29" i="162"/>
  <c r="O14" i="162"/>
  <c r="J39" i="162"/>
  <c r="K45" i="162"/>
  <c r="O40" i="162"/>
  <c r="C39" i="162"/>
  <c r="C42" i="162"/>
  <c r="K37" i="162"/>
  <c r="M16" i="162"/>
  <c r="W39" i="162"/>
  <c r="R44" i="162"/>
  <c r="N44" i="162"/>
  <c r="D15" i="162"/>
  <c r="H41" i="162"/>
  <c r="H14" i="162"/>
  <c r="S29" i="162"/>
  <c r="G14" i="162"/>
  <c r="Q25" i="162"/>
  <c r="V17" i="162"/>
  <c r="T39" i="162"/>
  <c r="O28" i="162"/>
  <c r="O38" i="162"/>
  <c r="K41" i="162"/>
  <c r="T13" i="162"/>
  <c r="N38" i="162"/>
  <c r="C43" i="162"/>
  <c r="P15" i="162"/>
  <c r="C30" i="162"/>
  <c r="F37" i="162"/>
  <c r="Q18" i="162"/>
  <c r="D29" i="162"/>
  <c r="U39" i="162"/>
  <c r="E32" i="162"/>
  <c r="D12" i="162"/>
  <c r="C25" i="162"/>
  <c r="O13" i="162"/>
  <c r="P11" i="162"/>
  <c r="T16" i="162"/>
  <c r="O15" i="162"/>
  <c r="E45" i="162"/>
  <c r="C40" i="162"/>
  <c r="M38" i="162"/>
  <c r="Q16" i="162"/>
  <c r="L16" i="162"/>
  <c r="E12" i="162"/>
  <c r="C24" i="162"/>
  <c r="P28" i="162"/>
  <c r="M40" i="162"/>
  <c r="S11" i="162"/>
  <c r="H28" i="162"/>
  <c r="T31" i="162"/>
  <c r="F17" i="162"/>
  <c r="G32" i="162"/>
  <c r="Q45" i="162"/>
  <c r="X15" i="162"/>
  <c r="P29" i="162"/>
  <c r="P37" i="162"/>
  <c r="T17" i="162"/>
  <c r="X16" i="162"/>
  <c r="M11" i="162"/>
  <c r="H31" i="162"/>
  <c r="G44" i="162"/>
  <c r="T12" i="162"/>
  <c r="G12" i="162"/>
  <c r="N15" i="162"/>
  <c r="S25" i="162"/>
  <c r="E43" i="162"/>
  <c r="R18" i="162"/>
  <c r="O41" i="162"/>
  <c r="X45" i="162"/>
  <c r="S26" i="162"/>
  <c r="E39" i="162"/>
  <c r="K42" i="162"/>
  <c r="R42" i="162"/>
  <c r="E30" i="162"/>
  <c r="S12" i="162"/>
  <c r="S24" i="162"/>
  <c r="F28" i="162"/>
  <c r="F12" i="162"/>
  <c r="S13" i="162"/>
  <c r="M12" i="162"/>
  <c r="J12" i="162"/>
  <c r="X19" i="162"/>
  <c r="Q38" i="162"/>
  <c r="R24" i="162"/>
  <c r="F31" i="162"/>
  <c r="N42" i="162"/>
  <c r="U44" i="162"/>
  <c r="Q32" i="162"/>
  <c r="O18" i="162"/>
  <c r="W12" i="162"/>
  <c r="Q17" i="162"/>
  <c r="P30" i="162"/>
  <c r="N45" i="162"/>
  <c r="J38" i="162"/>
  <c r="D11" i="162"/>
  <c r="J42" i="162"/>
  <c r="N11" i="162"/>
  <c r="J16" i="162"/>
  <c r="X38" i="162"/>
  <c r="O12" i="162"/>
  <c r="K13" i="162"/>
  <c r="I31" i="162"/>
  <c r="W45" i="162"/>
  <c r="I16" i="162"/>
  <c r="V43" i="162"/>
  <c r="I29" i="162"/>
  <c r="I26" i="162"/>
  <c r="T24" i="162"/>
  <c r="P16" i="162"/>
  <c r="L37" i="162"/>
  <c r="Q24" i="162"/>
  <c r="R40" i="162"/>
  <c r="X13" i="162"/>
  <c r="S39" i="162"/>
  <c r="N28" i="162"/>
  <c r="U43" i="162"/>
  <c r="O16" i="162"/>
  <c r="G40" i="162"/>
  <c r="G15" i="162"/>
  <c r="T27" i="162"/>
  <c r="K16" i="162"/>
  <c r="C38" i="162"/>
  <c r="D39" i="162"/>
  <c r="D40" i="162"/>
  <c r="T41" i="162"/>
  <c r="F24" i="162"/>
  <c r="C41" i="162"/>
  <c r="H38" i="162"/>
  <c r="S31" i="162"/>
  <c r="T19" i="162"/>
  <c r="W14" i="162"/>
  <c r="P17" i="162"/>
  <c r="X43" i="162"/>
  <c r="W11" i="162"/>
  <c r="I43" i="162"/>
  <c r="I24" i="162"/>
  <c r="O11" i="162"/>
  <c r="L40" i="162"/>
  <c r="F25" i="162"/>
  <c r="F39" i="162"/>
  <c r="V38" i="162"/>
  <c r="W19" i="162"/>
  <c r="O43" i="162"/>
  <c r="F45" i="162"/>
  <c r="R11" i="162"/>
  <c r="J17" i="162"/>
  <c r="X39" i="162"/>
  <c r="H13" i="162"/>
  <c r="C45" i="162"/>
  <c r="K18" i="162"/>
  <c r="I28" i="162"/>
  <c r="M43" i="162"/>
  <c r="T42" i="162"/>
  <c r="I25" i="162"/>
  <c r="E25" i="162"/>
  <c r="C28" i="162"/>
  <c r="R28" i="162"/>
  <c r="N40" i="162"/>
  <c r="G45" i="162"/>
  <c r="G37" i="162"/>
  <c r="I14" i="162"/>
  <c r="E29" i="162"/>
  <c r="I18" i="162"/>
  <c r="R32" i="162"/>
  <c r="L44" i="162"/>
  <c r="P44" i="162"/>
  <c r="S30" i="162"/>
  <c r="E15" i="162"/>
  <c r="T37" i="162"/>
  <c r="D38" i="162"/>
  <c r="P14" i="162"/>
  <c r="W13" i="162"/>
  <c r="X37" i="162"/>
  <c r="E37" i="162"/>
  <c r="D17" i="162"/>
  <c r="U40" i="162"/>
  <c r="Q43" i="162"/>
  <c r="Q40" i="162"/>
  <c r="N39" i="162"/>
  <c r="E16" i="162"/>
  <c r="W42" i="162"/>
  <c r="X14" i="162"/>
  <c r="E31" i="162"/>
  <c r="D43" i="162"/>
  <c r="C32" i="162"/>
  <c r="U18" i="162"/>
  <c r="D18" i="162"/>
  <c r="K43" i="162"/>
  <c r="R41" i="162"/>
  <c r="O26" i="162"/>
  <c r="S18" i="162"/>
  <c r="T15" i="162"/>
  <c r="R37" i="162"/>
  <c r="H40" i="162"/>
  <c r="N25" i="162"/>
  <c r="W16" i="162"/>
  <c r="L38" i="162"/>
  <c r="F26" i="162"/>
  <c r="K17" i="162"/>
  <c r="T40" i="162"/>
  <c r="F40" i="162"/>
  <c r="R12" i="162"/>
  <c r="F32" i="162"/>
  <c r="M19" i="162"/>
  <c r="R39" i="162"/>
  <c r="U19" i="162"/>
  <c r="E42" i="162"/>
  <c r="O17" i="162"/>
  <c r="P19" i="162"/>
  <c r="H27" i="162"/>
  <c r="N41" i="162"/>
  <c r="M18" i="162"/>
  <c r="E38" i="162"/>
  <c r="M17" i="162"/>
  <c r="P12" i="162"/>
  <c r="G29" i="162"/>
  <c r="H39" i="162"/>
  <c r="W38" i="162"/>
  <c r="V15" i="162"/>
  <c r="U37" i="162"/>
  <c r="V11" i="162"/>
  <c r="H43" i="162"/>
  <c r="G25" i="162"/>
  <c r="I40" i="162"/>
  <c r="O25" i="162"/>
  <c r="F29" i="162"/>
  <c r="L45" i="162"/>
  <c r="R45" i="162"/>
  <c r="U42" i="162"/>
  <c r="H12" i="162"/>
  <c r="J13" i="162"/>
  <c r="M45" i="162"/>
  <c r="S14" i="162"/>
  <c r="F13" i="162"/>
  <c r="H16" i="162"/>
  <c r="S27" i="162"/>
  <c r="S28" i="162"/>
  <c r="F41" i="162"/>
  <c r="C44" i="162"/>
  <c r="T32" i="162"/>
  <c r="S16" i="162"/>
  <c r="V45" i="162"/>
  <c r="T25" i="162"/>
  <c r="N14" i="162"/>
  <c r="H30" i="162"/>
  <c r="G27" i="162"/>
  <c r="M37" i="162"/>
  <c r="S19" i="162"/>
  <c r="C15" i="162"/>
  <c r="L14" i="162"/>
  <c r="E11" i="162"/>
  <c r="Q44" i="162"/>
  <c r="P39" i="162"/>
  <c r="O27" i="162"/>
  <c r="V16" i="162"/>
  <c r="F18" i="162"/>
  <c r="E28" i="162"/>
  <c r="F38" i="162"/>
  <c r="I27" i="162"/>
  <c r="M15" i="162"/>
  <c r="I13" i="162"/>
  <c r="Q11" i="162"/>
  <c r="N24" i="162"/>
  <c r="F27" i="162"/>
  <c r="I11" i="162"/>
  <c r="I19" i="162"/>
  <c r="P43" i="162"/>
  <c r="T18" i="162"/>
  <c r="M42" i="162"/>
  <c r="K39" i="162"/>
  <c r="R16" i="162"/>
  <c r="U41" i="162"/>
  <c r="S37" i="162"/>
  <c r="H19" i="162"/>
  <c r="D32" i="162"/>
  <c r="S42" i="162"/>
  <c r="C16" i="162"/>
  <c r="U45" i="162"/>
  <c r="Q26" i="162"/>
  <c r="D42" i="162"/>
  <c r="X11" i="162"/>
  <c r="K38" i="162"/>
  <c r="V39" i="162"/>
  <c r="U14" i="162"/>
  <c r="F11" i="162"/>
  <c r="U13" i="162"/>
  <c r="W18" i="162"/>
  <c r="J37" i="162"/>
  <c r="T43" i="162"/>
  <c r="C17" i="162"/>
  <c r="Q14" i="162"/>
  <c r="N19" i="162"/>
  <c r="E41" i="162"/>
  <c r="V14" i="162"/>
  <c r="H24" i="162"/>
  <c r="P13" i="162"/>
  <c r="R31" i="162"/>
  <c r="G43" i="162"/>
  <c r="G18" i="162"/>
  <c r="T11" i="162"/>
  <c r="H15" i="162"/>
  <c r="O31" i="162"/>
  <c r="D16" i="162"/>
  <c r="G38" i="162"/>
  <c r="J15" i="162"/>
  <c r="Q12" i="162"/>
  <c r="C18" i="162"/>
  <c r="O37" i="162"/>
  <c r="I17" i="162"/>
  <c r="C27" i="162"/>
  <c r="R14" i="162"/>
  <c r="R17" i="162"/>
  <c r="N37" i="162"/>
  <c r="P38" i="162"/>
  <c r="M39" i="162"/>
  <c r="V13" i="162"/>
  <c r="U12" i="162"/>
  <c r="M41" i="162"/>
  <c r="H37" i="162"/>
  <c r="E13" i="162"/>
  <c r="D14" i="162"/>
  <c r="Q31" i="162"/>
  <c r="O24" i="162"/>
  <c r="K19" i="162"/>
  <c r="R15" i="162"/>
  <c r="D41" i="162"/>
  <c r="T28" i="162"/>
  <c r="E27" i="162"/>
  <c r="E40" i="162"/>
  <c r="F30" i="162"/>
  <c r="U38" i="162"/>
  <c r="V44" i="162"/>
  <c r="M14" i="162"/>
  <c r="R27" i="162"/>
  <c r="I44" i="162"/>
  <c r="W17" i="162"/>
  <c r="G28" i="162"/>
  <c r="D25" i="162"/>
  <c r="G11" i="162"/>
  <c r="P41" i="162"/>
  <c r="S38" i="162"/>
  <c r="G13" i="162"/>
  <c r="S17" i="162"/>
  <c r="I38" i="162"/>
  <c r="N13" i="162"/>
  <c r="V37" i="162"/>
  <c r="V40" i="162"/>
  <c r="P27" i="162"/>
  <c r="I39" i="162"/>
  <c r="P32" i="162"/>
  <c r="J43" i="162"/>
  <c r="N12" i="162"/>
  <c r="Q13" i="162"/>
  <c r="L18" i="162"/>
  <c r="X44" i="162"/>
  <c r="S41" i="162"/>
  <c r="N32" i="162"/>
  <c r="O32" i="162"/>
  <c r="I32" i="162"/>
  <c r="E24" i="162"/>
  <c r="X40" i="162"/>
  <c r="C19" i="162"/>
  <c r="H18" i="162"/>
  <c r="S45" i="162"/>
  <c r="U15" i="162"/>
  <c r="C31" i="162"/>
  <c r="G39" i="162"/>
  <c r="J45" i="162"/>
  <c r="O19" i="162"/>
  <c r="P18" i="162"/>
  <c r="K40" i="162"/>
  <c r="J18" i="162"/>
  <c r="T44" i="162"/>
  <c r="I45" i="162"/>
  <c r="V19" i="162"/>
  <c r="D44" i="162"/>
  <c r="O42" i="162"/>
  <c r="F14" i="162"/>
  <c r="K11" i="162"/>
  <c r="N29" i="162"/>
  <c r="I12" i="162"/>
  <c r="W44" i="162"/>
  <c r="N17" i="162"/>
  <c r="F42" i="162"/>
  <c r="G19" i="162"/>
  <c r="D26" i="162"/>
  <c r="S15" i="162"/>
  <c r="R13" i="162"/>
  <c r="D31" i="162"/>
  <c r="O39" i="162"/>
  <c r="F19" i="162"/>
  <c r="E18" i="162"/>
  <c r="K44" i="162"/>
  <c r="T38" i="162"/>
  <c r="Q15" i="162"/>
  <c r="C13" i="162"/>
  <c r="V42" i="162"/>
  <c r="L13" i="162"/>
  <c r="W41" i="162"/>
  <c r="F44" i="162"/>
  <c r="X42" i="162"/>
  <c r="H11" i="162"/>
  <c r="J14" i="162"/>
  <c r="Q42" i="162"/>
  <c r="D27" i="162"/>
  <c r="N18" i="162"/>
  <c r="O44" i="162"/>
  <c r="M13" i="162"/>
  <c r="W40" i="162"/>
  <c r="N16" i="162"/>
  <c r="J41" i="162"/>
  <c r="P26" i="162"/>
  <c r="X12" i="162"/>
  <c r="C11" i="162"/>
  <c r="L43" i="162"/>
  <c r="R26" i="162"/>
  <c r="I41" i="162"/>
  <c r="N43" i="162"/>
  <c r="L12" i="162"/>
  <c r="L19" i="162"/>
  <c r="S43" i="162"/>
  <c r="X17" i="162"/>
  <c r="P25" i="162"/>
  <c r="W43" i="162"/>
  <c r="R38" i="162"/>
  <c r="L15" i="162"/>
  <c r="I37" i="162"/>
  <c r="D13" i="162"/>
  <c r="F43" i="162"/>
  <c r="C29" i="162"/>
  <c r="D37" i="162"/>
  <c r="Q30" i="162"/>
  <c r="K15" i="162"/>
  <c r="C14" i="162"/>
  <c r="G17" i="162"/>
  <c r="G41" i="162"/>
  <c r="P40" i="162"/>
  <c r="C37" i="162"/>
  <c r="P31" i="162"/>
  <c r="R30" i="162"/>
  <c r="O29" i="162"/>
  <c r="T14" i="162"/>
  <c r="Q37" i="162"/>
  <c r="G30" i="162"/>
  <c r="J40" i="162"/>
  <c r="Q39" i="162"/>
  <c r="S44" i="162"/>
  <c r="H17" i="162"/>
  <c r="R25" i="162"/>
  <c r="U11" i="162"/>
  <c r="E14" i="162"/>
  <c r="L17" i="162"/>
  <c r="N26" i="162"/>
  <c r="F15" i="162"/>
  <c r="L41" i="162"/>
  <c r="D19" i="162"/>
  <c r="N30" i="162"/>
  <c r="N31" i="162"/>
  <c r="U16" i="162"/>
  <c r="E26" i="162"/>
  <c r="P42" i="162"/>
  <c r="I42" i="162"/>
  <c r="T30" i="162"/>
  <c r="L39" i="162"/>
  <c r="D24" i="162"/>
  <c r="M44" i="162"/>
  <c r="W37" i="162"/>
  <c r="V41" i="162"/>
  <c r="H32" i="162"/>
  <c r="J19" i="162"/>
  <c r="E44" i="162"/>
  <c r="R43" i="162"/>
  <c r="E19" i="162"/>
  <c r="G26" i="162"/>
  <c r="G31" i="182" l="1"/>
  <c r="H31" i="182"/>
  <c r="X63" i="182"/>
  <c r="X64" i="182"/>
  <c r="X66" i="182"/>
  <c r="X67" i="182"/>
  <c r="O35" i="182"/>
  <c r="O36" i="182" s="1"/>
  <c r="H35" i="182"/>
  <c r="H36" i="182" s="1"/>
  <c r="G35" i="182"/>
  <c r="G36" i="182" s="1"/>
  <c r="C75" i="182"/>
  <c r="K75" i="182"/>
  <c r="I46" i="182"/>
  <c r="I44" i="182"/>
  <c r="I45" i="182"/>
  <c r="I42" i="182"/>
  <c r="X68" i="182"/>
  <c r="V42" i="182"/>
  <c r="I43" i="182"/>
  <c r="I47" i="182"/>
  <c r="X22" i="182"/>
  <c r="X23" i="182"/>
  <c r="X24" i="182"/>
  <c r="X21" i="182"/>
  <c r="F31" i="182"/>
  <c r="N31" i="182"/>
  <c r="V46" i="182"/>
  <c r="V47" i="182"/>
  <c r="V45" i="182"/>
  <c r="V44" i="182"/>
  <c r="V43" i="182"/>
  <c r="V31" i="182"/>
  <c r="R75" i="182"/>
  <c r="S75" i="182"/>
  <c r="J75" i="182"/>
  <c r="P54" i="182"/>
  <c r="D54" i="182"/>
  <c r="D56" i="182" s="1"/>
  <c r="D57" i="182" s="1"/>
  <c r="E54" i="182"/>
  <c r="E56" i="182" s="1"/>
  <c r="E57" i="182" s="1"/>
  <c r="R31" i="182"/>
  <c r="Q75" i="182"/>
  <c r="I75" i="182"/>
  <c r="D75" i="182"/>
  <c r="E75" i="182"/>
  <c r="M75" i="182"/>
  <c r="U75" i="182"/>
  <c r="W69" i="182"/>
  <c r="F75" i="182"/>
  <c r="N75" i="182"/>
  <c r="V75" i="182"/>
  <c r="Q54" i="182"/>
  <c r="T54" i="182"/>
  <c r="R54" i="182"/>
  <c r="S54" i="182"/>
  <c r="U48" i="182"/>
  <c r="O54" i="182"/>
  <c r="F54" i="182"/>
  <c r="F56" i="182" s="1"/>
  <c r="F57" i="182" s="1"/>
  <c r="H48" i="182"/>
  <c r="G54" i="182"/>
  <c r="G56" i="182" s="1"/>
  <c r="G57" i="182" s="1"/>
  <c r="B54" i="182"/>
  <c r="B56" i="182" s="1"/>
  <c r="B57" i="182" s="1"/>
  <c r="C54" i="182"/>
  <c r="C56" i="182" s="1"/>
  <c r="C57" i="182" s="1"/>
  <c r="S31" i="182"/>
  <c r="J31" i="182"/>
  <c r="K31" i="182"/>
  <c r="D31" i="182"/>
  <c r="L31" i="182"/>
  <c r="T31" i="182"/>
  <c r="B31" i="182"/>
  <c r="C31" i="182"/>
  <c r="O30" i="182"/>
  <c r="O32" i="182" s="1"/>
  <c r="E31" i="182"/>
  <c r="M31" i="182"/>
  <c r="U31" i="182"/>
  <c r="W25" i="182"/>
  <c r="G30" i="182"/>
  <c r="G32" i="182" s="1"/>
  <c r="F30" i="182"/>
  <c r="F32" i="182" s="1"/>
  <c r="N30" i="182"/>
  <c r="N32" i="182" s="1"/>
  <c r="V30" i="182"/>
  <c r="V32" i="182" s="1"/>
  <c r="I31" i="182"/>
  <c r="Q31" i="182"/>
  <c r="O53" i="182"/>
  <c r="O55" i="182" s="1"/>
  <c r="B74" i="182"/>
  <c r="B76" i="182" s="1"/>
  <c r="J74" i="182"/>
  <c r="J76" i="182" s="1"/>
  <c r="R74" i="182"/>
  <c r="R76" i="182" s="1"/>
  <c r="C74" i="182"/>
  <c r="C76" i="182" s="1"/>
  <c r="K74" i="182"/>
  <c r="K76" i="182" s="1"/>
  <c r="S74" i="182"/>
  <c r="S76" i="182" s="1"/>
  <c r="P31" i="182"/>
  <c r="T75" i="182"/>
  <c r="L75" i="182"/>
  <c r="H30" i="182"/>
  <c r="H32" i="182" s="1"/>
  <c r="G75" i="182"/>
  <c r="H75" i="182"/>
  <c r="P75" i="182"/>
  <c r="O75" i="182"/>
  <c r="C34" i="181"/>
  <c r="D34" i="181"/>
  <c r="E34" i="181"/>
  <c r="F34" i="181"/>
  <c r="G34" i="181"/>
  <c r="H34" i="181"/>
  <c r="I34" i="181"/>
  <c r="J34" i="181"/>
  <c r="K34" i="181"/>
  <c r="L34" i="181"/>
  <c r="M34" i="181"/>
  <c r="N34" i="181"/>
  <c r="O34" i="181"/>
  <c r="P34" i="181"/>
  <c r="Q34" i="181"/>
  <c r="R34" i="181"/>
  <c r="S34" i="181"/>
  <c r="T34" i="181"/>
  <c r="U34" i="181"/>
  <c r="V34" i="181"/>
  <c r="B34" i="181"/>
  <c r="V35" i="182" l="1"/>
  <c r="V36" i="182" s="1"/>
  <c r="U35" i="182"/>
  <c r="U36" i="182" s="1"/>
  <c r="T35" i="182"/>
  <c r="T36" i="182" s="1"/>
  <c r="S35" i="182"/>
  <c r="S36" i="182" s="1"/>
  <c r="R35" i="182"/>
  <c r="R36" i="182" s="1"/>
  <c r="Q35" i="182"/>
  <c r="Q36" i="182" s="1"/>
  <c r="P35" i="182"/>
  <c r="P36" i="182" s="1"/>
  <c r="N35" i="182"/>
  <c r="N36" i="182" s="1"/>
  <c r="M35" i="182"/>
  <c r="M36" i="182" s="1"/>
  <c r="L35" i="182"/>
  <c r="L36" i="182" s="1"/>
  <c r="K35" i="182"/>
  <c r="K36" i="182" s="1"/>
  <c r="J35" i="182"/>
  <c r="J36" i="182" s="1"/>
  <c r="I35" i="182"/>
  <c r="I36" i="182" s="1"/>
  <c r="F35" i="182"/>
  <c r="F36" i="182" s="1"/>
  <c r="E35" i="182"/>
  <c r="E36" i="182" s="1"/>
  <c r="D35" i="182"/>
  <c r="D36" i="182" s="1"/>
  <c r="C35" i="182"/>
  <c r="C36" i="182" s="1"/>
  <c r="B35" i="182"/>
  <c r="B36" i="182" s="1"/>
  <c r="W70" i="182"/>
  <c r="H51" i="182"/>
  <c r="U49" i="182"/>
  <c r="W28" i="182"/>
  <c r="H49" i="182"/>
  <c r="W72" i="182"/>
  <c r="U51" i="182"/>
  <c r="W26" i="182"/>
  <c r="C25" i="181"/>
  <c r="C30" i="181" s="1"/>
  <c r="C32" i="181" s="1"/>
  <c r="C28" i="181"/>
  <c r="C29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C71" i="181"/>
  <c r="B71" i="181"/>
  <c r="V70" i="181"/>
  <c r="U70" i="181"/>
  <c r="T70" i="181"/>
  <c r="S70" i="181"/>
  <c r="R70" i="181"/>
  <c r="Q70" i="181"/>
  <c r="P70" i="181"/>
  <c r="O70" i="181"/>
  <c r="N70" i="181"/>
  <c r="M70" i="181"/>
  <c r="L70" i="181"/>
  <c r="K70" i="181"/>
  <c r="J70" i="181"/>
  <c r="I70" i="181"/>
  <c r="H70" i="181"/>
  <c r="G70" i="181"/>
  <c r="F70" i="181"/>
  <c r="E70" i="181"/>
  <c r="D70" i="181"/>
  <c r="C70" i="181"/>
  <c r="B70" i="181"/>
  <c r="W69" i="181"/>
  <c r="V67" i="181"/>
  <c r="V72" i="181" s="1"/>
  <c r="V74" i="181" s="1"/>
  <c r="U67" i="181"/>
  <c r="U72" i="181" s="1"/>
  <c r="U74" i="181" s="1"/>
  <c r="T67" i="181"/>
  <c r="S67" i="181"/>
  <c r="S72" i="181" s="1"/>
  <c r="S74" i="181" s="1"/>
  <c r="R67" i="181"/>
  <c r="Q67" i="181"/>
  <c r="Q72" i="181" s="1"/>
  <c r="Q74" i="181" s="1"/>
  <c r="P67" i="181"/>
  <c r="O67" i="181"/>
  <c r="O72" i="181" s="1"/>
  <c r="O74" i="181" s="1"/>
  <c r="N67" i="181"/>
  <c r="N72" i="181" s="1"/>
  <c r="N74" i="181" s="1"/>
  <c r="M67" i="181"/>
  <c r="M72" i="181" s="1"/>
  <c r="M74" i="181" s="1"/>
  <c r="L67" i="181"/>
  <c r="L72" i="181" s="1"/>
  <c r="L74" i="181" s="1"/>
  <c r="K67" i="181"/>
  <c r="K72" i="181" s="1"/>
  <c r="K74" i="181" s="1"/>
  <c r="J67" i="181"/>
  <c r="J72" i="181" s="1"/>
  <c r="J74" i="181" s="1"/>
  <c r="I67" i="181"/>
  <c r="H67" i="181"/>
  <c r="G67" i="181"/>
  <c r="F67" i="181"/>
  <c r="F72" i="181" s="1"/>
  <c r="F74" i="181" s="1"/>
  <c r="E67" i="181"/>
  <c r="E72" i="181" s="1"/>
  <c r="E74" i="181" s="1"/>
  <c r="D67" i="181"/>
  <c r="C67" i="181"/>
  <c r="C72" i="181" s="1"/>
  <c r="C74" i="181" s="1"/>
  <c r="B67" i="181"/>
  <c r="B72" i="181" s="1"/>
  <c r="B74" i="181" s="1"/>
  <c r="W66" i="181"/>
  <c r="W65" i="181"/>
  <c r="W64" i="181"/>
  <c r="W63" i="181"/>
  <c r="W62" i="181"/>
  <c r="W61" i="181"/>
  <c r="W60" i="181"/>
  <c r="T50" i="181"/>
  <c r="S50" i="181"/>
  <c r="R50" i="181"/>
  <c r="Q50" i="181"/>
  <c r="P50" i="181"/>
  <c r="O50" i="181"/>
  <c r="G50" i="181"/>
  <c r="F50" i="181"/>
  <c r="E50" i="181"/>
  <c r="D50" i="181"/>
  <c r="C50" i="181"/>
  <c r="B50" i="181"/>
  <c r="T49" i="181"/>
  <c r="S49" i="181"/>
  <c r="R49" i="181"/>
  <c r="Q49" i="181"/>
  <c r="P49" i="181"/>
  <c r="O49" i="181"/>
  <c r="G49" i="181"/>
  <c r="F49" i="181"/>
  <c r="E49" i="181"/>
  <c r="D49" i="181"/>
  <c r="C49" i="181"/>
  <c r="B49" i="181"/>
  <c r="U48" i="181"/>
  <c r="H48" i="181"/>
  <c r="T46" i="181"/>
  <c r="T51" i="181" s="1"/>
  <c r="T53" i="181" s="1"/>
  <c r="S46" i="181"/>
  <c r="S51" i="181" s="1"/>
  <c r="S53" i="181" s="1"/>
  <c r="R46" i="181"/>
  <c r="R51" i="181" s="1"/>
  <c r="R53" i="181" s="1"/>
  <c r="Q46" i="181"/>
  <c r="P46" i="181"/>
  <c r="P51" i="181" s="1"/>
  <c r="P53" i="181" s="1"/>
  <c r="O46" i="181"/>
  <c r="O51" i="181" s="1"/>
  <c r="O53" i="181" s="1"/>
  <c r="G46" i="181"/>
  <c r="G51" i="181" s="1"/>
  <c r="G53" i="181" s="1"/>
  <c r="F46" i="181"/>
  <c r="F51" i="181" s="1"/>
  <c r="F53" i="181" s="1"/>
  <c r="E46" i="181"/>
  <c r="E51" i="181" s="1"/>
  <c r="E53" i="181" s="1"/>
  <c r="D46" i="181"/>
  <c r="D51" i="181" s="1"/>
  <c r="D53" i="181" s="1"/>
  <c r="C46" i="181"/>
  <c r="C51" i="181" s="1"/>
  <c r="C53" i="181" s="1"/>
  <c r="B46" i="181"/>
  <c r="U45" i="181"/>
  <c r="H45" i="181"/>
  <c r="U44" i="181"/>
  <c r="H44" i="181"/>
  <c r="U43" i="181"/>
  <c r="H43" i="181"/>
  <c r="U42" i="181"/>
  <c r="H42" i="181"/>
  <c r="U41" i="181"/>
  <c r="H41" i="181"/>
  <c r="U40" i="181"/>
  <c r="H40" i="181"/>
  <c r="U39" i="181"/>
  <c r="H39" i="181"/>
  <c r="V29" i="181"/>
  <c r="U29" i="181"/>
  <c r="T29" i="181"/>
  <c r="S29" i="181"/>
  <c r="R29" i="181"/>
  <c r="Q29" i="181"/>
  <c r="P29" i="181"/>
  <c r="O29" i="181"/>
  <c r="N29" i="181"/>
  <c r="M29" i="181"/>
  <c r="L29" i="181"/>
  <c r="K29" i="181"/>
  <c r="J29" i="181"/>
  <c r="I29" i="181"/>
  <c r="H29" i="181"/>
  <c r="G29" i="181"/>
  <c r="F29" i="181"/>
  <c r="E29" i="181"/>
  <c r="D29" i="181"/>
  <c r="B29" i="181"/>
  <c r="V28" i="181"/>
  <c r="U28" i="181"/>
  <c r="T28" i="181"/>
  <c r="S28" i="181"/>
  <c r="R28" i="181"/>
  <c r="Q28" i="181"/>
  <c r="P28" i="181"/>
  <c r="O28" i="181"/>
  <c r="N28" i="181"/>
  <c r="M28" i="181"/>
  <c r="L28" i="181"/>
  <c r="K28" i="181"/>
  <c r="J28" i="181"/>
  <c r="I28" i="181"/>
  <c r="H28" i="181"/>
  <c r="G28" i="181"/>
  <c r="F28" i="181"/>
  <c r="E28" i="181"/>
  <c r="D28" i="181"/>
  <c r="B28" i="181"/>
  <c r="W27" i="181"/>
  <c r="V25" i="181"/>
  <c r="U25" i="181"/>
  <c r="T25" i="181"/>
  <c r="S25" i="181"/>
  <c r="S31" i="181" s="1"/>
  <c r="R25" i="181"/>
  <c r="R30" i="181" s="1"/>
  <c r="R32" i="181" s="1"/>
  <c r="Q25" i="181"/>
  <c r="Q30" i="181" s="1"/>
  <c r="Q32" i="181" s="1"/>
  <c r="P25" i="181"/>
  <c r="P30" i="181" s="1"/>
  <c r="P32" i="181" s="1"/>
  <c r="O25" i="181"/>
  <c r="O30" i="181" s="1"/>
  <c r="O32" i="181" s="1"/>
  <c r="N25" i="181"/>
  <c r="N30" i="181" s="1"/>
  <c r="N32" i="181" s="1"/>
  <c r="M25" i="181"/>
  <c r="M30" i="181" s="1"/>
  <c r="M32" i="181" s="1"/>
  <c r="L25" i="181"/>
  <c r="L30" i="181" s="1"/>
  <c r="L32" i="181" s="1"/>
  <c r="K25" i="181"/>
  <c r="J25" i="181"/>
  <c r="J30" i="181" s="1"/>
  <c r="J32" i="181" s="1"/>
  <c r="I25" i="181"/>
  <c r="I30" i="181" s="1"/>
  <c r="I32" i="181" s="1"/>
  <c r="H25" i="181"/>
  <c r="H30" i="181" s="1"/>
  <c r="H32" i="181" s="1"/>
  <c r="G25" i="181"/>
  <c r="G30" i="181" s="1"/>
  <c r="G32" i="181" s="1"/>
  <c r="F25" i="181"/>
  <c r="F30" i="181" s="1"/>
  <c r="F32" i="181" s="1"/>
  <c r="E25" i="181"/>
  <c r="E30" i="181" s="1"/>
  <c r="E32" i="181" s="1"/>
  <c r="D25" i="181"/>
  <c r="D30" i="181" s="1"/>
  <c r="D32" i="181" s="1"/>
  <c r="B25" i="181"/>
  <c r="B30" i="181" s="1"/>
  <c r="B32" i="181" s="1"/>
  <c r="W24" i="181"/>
  <c r="W23" i="181"/>
  <c r="W22" i="181"/>
  <c r="W21" i="181"/>
  <c r="W20" i="181"/>
  <c r="W19" i="181"/>
  <c r="W18" i="181"/>
  <c r="U11" i="181"/>
  <c r="G73" i="181" l="1"/>
  <c r="H73" i="181"/>
  <c r="I73" i="181"/>
  <c r="B73" i="181"/>
  <c r="N73" i="181"/>
  <c r="V31" i="181"/>
  <c r="P73" i="181"/>
  <c r="U31" i="181"/>
  <c r="X19" i="181"/>
  <c r="R73" i="181"/>
  <c r="D73" i="181"/>
  <c r="T73" i="181"/>
  <c r="J31" i="181"/>
  <c r="T31" i="181"/>
  <c r="O73" i="181"/>
  <c r="D72" i="181"/>
  <c r="D74" i="181" s="1"/>
  <c r="C73" i="181"/>
  <c r="F52" i="181"/>
  <c r="C31" i="181"/>
  <c r="L73" i="181"/>
  <c r="M73" i="181"/>
  <c r="P72" i="181"/>
  <c r="P74" i="181" s="1"/>
  <c r="E73" i="181"/>
  <c r="Q73" i="181"/>
  <c r="F73" i="181"/>
  <c r="R72" i="181"/>
  <c r="R74" i="181" s="1"/>
  <c r="W67" i="181"/>
  <c r="W68" i="181" s="1"/>
  <c r="G72" i="181"/>
  <c r="G74" i="181" s="1"/>
  <c r="U73" i="181"/>
  <c r="I72" i="181"/>
  <c r="I74" i="181" s="1"/>
  <c r="S73" i="181"/>
  <c r="J73" i="181"/>
  <c r="V73" i="181"/>
  <c r="K73" i="181"/>
  <c r="O52" i="181"/>
  <c r="P52" i="181"/>
  <c r="T52" i="181"/>
  <c r="Q52" i="181"/>
  <c r="R52" i="181"/>
  <c r="S52" i="181"/>
  <c r="E52" i="181"/>
  <c r="G52" i="181"/>
  <c r="C52" i="181"/>
  <c r="D52" i="181"/>
  <c r="S30" i="181"/>
  <c r="S32" i="181" s="1"/>
  <c r="T30" i="181"/>
  <c r="T32" i="181" s="1"/>
  <c r="U30" i="181"/>
  <c r="U32" i="181" s="1"/>
  <c r="V30" i="181"/>
  <c r="V32" i="181" s="1"/>
  <c r="G31" i="181"/>
  <c r="F31" i="181"/>
  <c r="R31" i="181"/>
  <c r="H31" i="181"/>
  <c r="I31" i="181"/>
  <c r="B31" i="181"/>
  <c r="N31" i="181"/>
  <c r="O31" i="181"/>
  <c r="L31" i="181"/>
  <c r="W25" i="181"/>
  <c r="W26" i="181" s="1"/>
  <c r="D31" i="181"/>
  <c r="P31" i="181"/>
  <c r="E31" i="181"/>
  <c r="Q31" i="181"/>
  <c r="K30" i="181"/>
  <c r="K32" i="181" s="1"/>
  <c r="K31" i="181"/>
  <c r="B52" i="181"/>
  <c r="U46" i="181"/>
  <c r="B51" i="181"/>
  <c r="B53" i="181" s="1"/>
  <c r="H46" i="181"/>
  <c r="M31" i="181"/>
  <c r="Q51" i="181"/>
  <c r="Q53" i="181" s="1"/>
  <c r="H72" i="181"/>
  <c r="H74" i="181" s="1"/>
  <c r="T72" i="181"/>
  <c r="T74" i="181" s="1"/>
  <c r="W61" i="178"/>
  <c r="W70" i="181" l="1"/>
  <c r="W28" i="181"/>
  <c r="H47" i="181"/>
  <c r="H49" i="181"/>
  <c r="U49" i="181"/>
  <c r="U47" i="181"/>
  <c r="B37" i="180"/>
  <c r="B38" i="180" s="1"/>
  <c r="B39" i="180" s="1"/>
  <c r="B40" i="180" s="1"/>
  <c r="B41" i="180" s="1"/>
  <c r="B42" i="180" s="1"/>
  <c r="B43" i="180" s="1"/>
  <c r="M24" i="180"/>
  <c r="M25" i="180" s="1"/>
  <c r="M26" i="180" s="1"/>
  <c r="M27" i="180" s="1"/>
  <c r="M28" i="180" s="1"/>
  <c r="M29" i="180" s="1"/>
  <c r="M30" i="180" s="1"/>
  <c r="B24" i="180"/>
  <c r="B25" i="180" s="1"/>
  <c r="B26" i="180" s="1"/>
  <c r="B27" i="180" s="1"/>
  <c r="B28" i="180" s="1"/>
  <c r="B29" i="180" s="1"/>
  <c r="B30" i="180" s="1"/>
  <c r="B12" i="180"/>
  <c r="B13" i="180" s="1"/>
  <c r="B14" i="180" s="1"/>
  <c r="B15" i="180" s="1"/>
  <c r="B16" i="180" s="1"/>
  <c r="B17" i="180" s="1"/>
  <c r="B37" i="179"/>
  <c r="B38" i="179" s="1"/>
  <c r="B39" i="179" s="1"/>
  <c r="B40" i="179" s="1"/>
  <c r="B41" i="179" s="1"/>
  <c r="B42" i="179" s="1"/>
  <c r="B43" i="179" s="1"/>
  <c r="M24" i="179"/>
  <c r="M25" i="179" s="1"/>
  <c r="M26" i="179" s="1"/>
  <c r="M27" i="179" s="1"/>
  <c r="M28" i="179" s="1"/>
  <c r="M29" i="179" s="1"/>
  <c r="M30" i="179" s="1"/>
  <c r="B24" i="179"/>
  <c r="B25" i="179" s="1"/>
  <c r="B26" i="179" s="1"/>
  <c r="B27" i="179" s="1"/>
  <c r="B28" i="179" s="1"/>
  <c r="B29" i="179" s="1"/>
  <c r="B30" i="179" s="1"/>
  <c r="B12" i="179"/>
  <c r="B13" i="179" s="1"/>
  <c r="B14" i="179" s="1"/>
  <c r="B15" i="179" s="1"/>
  <c r="B16" i="179" s="1"/>
  <c r="B17" i="179" s="1"/>
  <c r="V71" i="178" l="1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C71" i="178"/>
  <c r="B71" i="178"/>
  <c r="V70" i="178"/>
  <c r="U70" i="178"/>
  <c r="T70" i="178"/>
  <c r="S70" i="178"/>
  <c r="R70" i="178"/>
  <c r="Q70" i="178"/>
  <c r="P70" i="178"/>
  <c r="O70" i="178"/>
  <c r="N70" i="178"/>
  <c r="M70" i="178"/>
  <c r="L70" i="178"/>
  <c r="K70" i="178"/>
  <c r="J70" i="178"/>
  <c r="I70" i="178"/>
  <c r="H70" i="178"/>
  <c r="G70" i="178"/>
  <c r="F70" i="178"/>
  <c r="E70" i="178"/>
  <c r="D70" i="178"/>
  <c r="C70" i="178"/>
  <c r="B70" i="178"/>
  <c r="W69" i="178"/>
  <c r="V67" i="178"/>
  <c r="U67" i="178"/>
  <c r="T67" i="178"/>
  <c r="S67" i="178"/>
  <c r="S72" i="178" s="1"/>
  <c r="S74" i="178" s="1"/>
  <c r="R67" i="178"/>
  <c r="R72" i="178" s="1"/>
  <c r="R74" i="178" s="1"/>
  <c r="Q67" i="178"/>
  <c r="Q72" i="178" s="1"/>
  <c r="Q74" i="178" s="1"/>
  <c r="P67" i="178"/>
  <c r="P72" i="178" s="1"/>
  <c r="P74" i="178" s="1"/>
  <c r="O67" i="178"/>
  <c r="O72" i="178" s="1"/>
  <c r="O74" i="178" s="1"/>
  <c r="N67" i="178"/>
  <c r="N72" i="178" s="1"/>
  <c r="N74" i="178" s="1"/>
  <c r="M67" i="178"/>
  <c r="L67" i="178"/>
  <c r="K67" i="178"/>
  <c r="K72" i="178" s="1"/>
  <c r="K74" i="178" s="1"/>
  <c r="J67" i="178"/>
  <c r="J72" i="178" s="1"/>
  <c r="J74" i="178" s="1"/>
  <c r="I67" i="178"/>
  <c r="I72" i="178" s="1"/>
  <c r="I74" i="178" s="1"/>
  <c r="H67" i="178"/>
  <c r="H72" i="178" s="1"/>
  <c r="H74" i="178" s="1"/>
  <c r="G67" i="178"/>
  <c r="G72" i="178" s="1"/>
  <c r="G74" i="178" s="1"/>
  <c r="F67" i="178"/>
  <c r="F72" i="178" s="1"/>
  <c r="F74" i="178" s="1"/>
  <c r="E67" i="178"/>
  <c r="E72" i="178" s="1"/>
  <c r="E74" i="178" s="1"/>
  <c r="D67" i="178"/>
  <c r="D72" i="178" s="1"/>
  <c r="D74" i="178" s="1"/>
  <c r="C67" i="178"/>
  <c r="C72" i="178" s="1"/>
  <c r="C74" i="178" s="1"/>
  <c r="B67" i="178"/>
  <c r="B72" i="178" s="1"/>
  <c r="B74" i="178" s="1"/>
  <c r="W66" i="178"/>
  <c r="W65" i="178"/>
  <c r="W64" i="178"/>
  <c r="W63" i="178"/>
  <c r="W62" i="178"/>
  <c r="W60" i="178"/>
  <c r="T51" i="178"/>
  <c r="T53" i="178" s="1"/>
  <c r="T50" i="178"/>
  <c r="S50" i="178"/>
  <c r="R50" i="178"/>
  <c r="Q50" i="178"/>
  <c r="P50" i="178"/>
  <c r="O50" i="178"/>
  <c r="G50" i="178"/>
  <c r="F50" i="178"/>
  <c r="E50" i="178"/>
  <c r="D50" i="178"/>
  <c r="C50" i="178"/>
  <c r="B50" i="178"/>
  <c r="T49" i="178"/>
  <c r="S49" i="178"/>
  <c r="R49" i="178"/>
  <c r="Q49" i="178"/>
  <c r="P49" i="178"/>
  <c r="O49" i="178"/>
  <c r="G49" i="178"/>
  <c r="F49" i="178"/>
  <c r="E49" i="178"/>
  <c r="D49" i="178"/>
  <c r="C49" i="178"/>
  <c r="B49" i="178"/>
  <c r="U48" i="178"/>
  <c r="H48" i="178"/>
  <c r="T46" i="178"/>
  <c r="S46" i="178"/>
  <c r="S51" i="178" s="1"/>
  <c r="S53" i="178" s="1"/>
  <c r="R46" i="178"/>
  <c r="R51" i="178" s="1"/>
  <c r="R53" i="178" s="1"/>
  <c r="Q46" i="178"/>
  <c r="Q51" i="178" s="1"/>
  <c r="Q53" i="178" s="1"/>
  <c r="P46" i="178"/>
  <c r="P51" i="178" s="1"/>
  <c r="P53" i="178" s="1"/>
  <c r="O46" i="178"/>
  <c r="O51" i="178" s="1"/>
  <c r="O53" i="178" s="1"/>
  <c r="G46" i="178"/>
  <c r="G51" i="178" s="1"/>
  <c r="G53" i="178" s="1"/>
  <c r="F46" i="178"/>
  <c r="F51" i="178" s="1"/>
  <c r="F53" i="178" s="1"/>
  <c r="E46" i="178"/>
  <c r="E51" i="178" s="1"/>
  <c r="E53" i="178" s="1"/>
  <c r="D46" i="178"/>
  <c r="D51" i="178" s="1"/>
  <c r="D53" i="178" s="1"/>
  <c r="C46" i="178"/>
  <c r="C51" i="178" s="1"/>
  <c r="C53" i="178" s="1"/>
  <c r="B46" i="178"/>
  <c r="B51" i="178" s="1"/>
  <c r="B53" i="178" s="1"/>
  <c r="U45" i="178"/>
  <c r="H45" i="178"/>
  <c r="U44" i="178"/>
  <c r="H44" i="178"/>
  <c r="U43" i="178"/>
  <c r="H43" i="178"/>
  <c r="U42" i="178"/>
  <c r="H42" i="178"/>
  <c r="U41" i="178"/>
  <c r="H41" i="178"/>
  <c r="U40" i="178"/>
  <c r="H40" i="178"/>
  <c r="U39" i="178"/>
  <c r="H39" i="178"/>
  <c r="V29" i="178"/>
  <c r="U29" i="178"/>
  <c r="T29" i="178"/>
  <c r="S29" i="178"/>
  <c r="R29" i="178"/>
  <c r="Q29" i="178"/>
  <c r="P29" i="178"/>
  <c r="O29" i="178"/>
  <c r="N29" i="178"/>
  <c r="M29" i="178"/>
  <c r="L29" i="178"/>
  <c r="K29" i="178"/>
  <c r="J29" i="178"/>
  <c r="I29" i="178"/>
  <c r="H29" i="178"/>
  <c r="G29" i="178"/>
  <c r="F29" i="178"/>
  <c r="E29" i="178"/>
  <c r="D29" i="178"/>
  <c r="C29" i="178"/>
  <c r="B29" i="178"/>
  <c r="V28" i="178"/>
  <c r="U28" i="178"/>
  <c r="T28" i="178"/>
  <c r="S28" i="178"/>
  <c r="R28" i="178"/>
  <c r="Q28" i="178"/>
  <c r="P28" i="178"/>
  <c r="O28" i="178"/>
  <c r="N28" i="178"/>
  <c r="M28" i="178"/>
  <c r="L28" i="178"/>
  <c r="K28" i="178"/>
  <c r="J28" i="178"/>
  <c r="I28" i="178"/>
  <c r="H28" i="178"/>
  <c r="G28" i="178"/>
  <c r="F28" i="178"/>
  <c r="E28" i="178"/>
  <c r="D28" i="178"/>
  <c r="C28" i="178"/>
  <c r="B28" i="178"/>
  <c r="W27" i="178"/>
  <c r="V25" i="178"/>
  <c r="V30" i="178" s="1"/>
  <c r="V32" i="178" s="1"/>
  <c r="U25" i="178"/>
  <c r="U30" i="178" s="1"/>
  <c r="U32" i="178" s="1"/>
  <c r="T25" i="178"/>
  <c r="T30" i="178" s="1"/>
  <c r="T32" i="178" s="1"/>
  <c r="S25" i="178"/>
  <c r="S30" i="178" s="1"/>
  <c r="S32" i="178" s="1"/>
  <c r="R25" i="178"/>
  <c r="R30" i="178" s="1"/>
  <c r="R32" i="178" s="1"/>
  <c r="Q25" i="178"/>
  <c r="Q30" i="178" s="1"/>
  <c r="Q32" i="178" s="1"/>
  <c r="P25" i="178"/>
  <c r="O25" i="178"/>
  <c r="O30" i="178" s="1"/>
  <c r="O32" i="178" s="1"/>
  <c r="N25" i="178"/>
  <c r="N30" i="178" s="1"/>
  <c r="N32" i="178" s="1"/>
  <c r="M25" i="178"/>
  <c r="M30" i="178" s="1"/>
  <c r="M32" i="178" s="1"/>
  <c r="L25" i="178"/>
  <c r="K25" i="178"/>
  <c r="K30" i="178" s="1"/>
  <c r="K32" i="178" s="1"/>
  <c r="J25" i="178"/>
  <c r="J30" i="178" s="1"/>
  <c r="J32" i="178" s="1"/>
  <c r="I25" i="178"/>
  <c r="I30" i="178" s="1"/>
  <c r="I32" i="178" s="1"/>
  <c r="H25" i="178"/>
  <c r="H30" i="178" s="1"/>
  <c r="H32" i="178" s="1"/>
  <c r="G25" i="178"/>
  <c r="G30" i="178" s="1"/>
  <c r="G32" i="178" s="1"/>
  <c r="F25" i="178"/>
  <c r="F30" i="178" s="1"/>
  <c r="F32" i="178" s="1"/>
  <c r="E25" i="178"/>
  <c r="E30" i="178" s="1"/>
  <c r="E32" i="178" s="1"/>
  <c r="D25" i="178"/>
  <c r="C25" i="178"/>
  <c r="B25" i="178"/>
  <c r="B30" i="178" s="1"/>
  <c r="B32" i="178" s="1"/>
  <c r="W24" i="178"/>
  <c r="W23" i="178"/>
  <c r="W22" i="178"/>
  <c r="W21" i="178"/>
  <c r="W20" i="178"/>
  <c r="W19" i="178"/>
  <c r="W18" i="178"/>
  <c r="U11" i="178"/>
  <c r="T73" i="178" l="1"/>
  <c r="U73" i="178"/>
  <c r="V73" i="178"/>
  <c r="P31" i="178"/>
  <c r="N31" i="178"/>
  <c r="L31" i="178"/>
  <c r="Q31" i="178"/>
  <c r="L30" i="178"/>
  <c r="L32" i="178" s="1"/>
  <c r="C31" i="178"/>
  <c r="K31" i="178"/>
  <c r="D31" i="178"/>
  <c r="M73" i="178"/>
  <c r="L73" i="178"/>
  <c r="F31" i="178"/>
  <c r="R31" i="178"/>
  <c r="M31" i="178"/>
  <c r="E31" i="178"/>
  <c r="W25" i="178"/>
  <c r="W26" i="178" s="1"/>
  <c r="I73" i="178"/>
  <c r="K73" i="178"/>
  <c r="B73" i="178"/>
  <c r="N73" i="178"/>
  <c r="V72" i="178"/>
  <c r="V74" i="178" s="1"/>
  <c r="W67" i="178"/>
  <c r="W70" i="178" s="1"/>
  <c r="T72" i="178"/>
  <c r="T74" i="178" s="1"/>
  <c r="H73" i="178"/>
  <c r="J73" i="178"/>
  <c r="U72" i="178"/>
  <c r="U74" i="178" s="1"/>
  <c r="D73" i="178"/>
  <c r="P73" i="178"/>
  <c r="E73" i="178"/>
  <c r="Q73" i="178"/>
  <c r="O73" i="178"/>
  <c r="F73" i="178"/>
  <c r="R73" i="178"/>
  <c r="C73" i="178"/>
  <c r="G73" i="178"/>
  <c r="S73" i="178"/>
  <c r="S52" i="178"/>
  <c r="P52" i="178"/>
  <c r="Q52" i="178"/>
  <c r="T52" i="178"/>
  <c r="O52" i="178"/>
  <c r="R52" i="178"/>
  <c r="E52" i="178"/>
  <c r="F52" i="178"/>
  <c r="G52" i="178"/>
  <c r="B52" i="178"/>
  <c r="C52" i="178"/>
  <c r="D52" i="178"/>
  <c r="G31" i="178"/>
  <c r="S31" i="178"/>
  <c r="H31" i="178"/>
  <c r="T31" i="178"/>
  <c r="I31" i="178"/>
  <c r="U31" i="178"/>
  <c r="J31" i="178"/>
  <c r="V31" i="178"/>
  <c r="B31" i="178"/>
  <c r="H46" i="178"/>
  <c r="P30" i="178"/>
  <c r="P32" i="178" s="1"/>
  <c r="M72" i="178"/>
  <c r="M74" i="178" s="1"/>
  <c r="U46" i="178"/>
  <c r="O31" i="178"/>
  <c r="C30" i="178"/>
  <c r="C32" i="178" s="1"/>
  <c r="L72" i="178"/>
  <c r="L74" i="178" s="1"/>
  <c r="D30" i="178"/>
  <c r="D32" i="178" s="1"/>
  <c r="W28" i="178" l="1"/>
  <c r="W68" i="178"/>
  <c r="U49" i="178"/>
  <c r="U47" i="178"/>
  <c r="H49" i="178"/>
  <c r="H47" i="178"/>
  <c r="V71" i="177" l="1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C71" i="177"/>
  <c r="B71" i="177"/>
  <c r="V70" i="177"/>
  <c r="U70" i="177"/>
  <c r="T70" i="177"/>
  <c r="S70" i="177"/>
  <c r="R70" i="177"/>
  <c r="Q70" i="177"/>
  <c r="P70" i="177"/>
  <c r="O70" i="177"/>
  <c r="N70" i="177"/>
  <c r="M70" i="177"/>
  <c r="L70" i="177"/>
  <c r="K70" i="177"/>
  <c r="J70" i="177"/>
  <c r="I70" i="177"/>
  <c r="H70" i="177"/>
  <c r="G70" i="177"/>
  <c r="F70" i="177"/>
  <c r="E70" i="177"/>
  <c r="D70" i="177"/>
  <c r="C70" i="177"/>
  <c r="B70" i="177"/>
  <c r="W69" i="177"/>
  <c r="V67" i="177"/>
  <c r="V72" i="177" s="1"/>
  <c r="V74" i="177" s="1"/>
  <c r="U67" i="177"/>
  <c r="T67" i="177"/>
  <c r="T72" i="177" s="1"/>
  <c r="T74" i="177" s="1"/>
  <c r="S67" i="177"/>
  <c r="R67" i="177"/>
  <c r="R72" i="177" s="1"/>
  <c r="R74" i="177" s="1"/>
  <c r="Q67" i="177"/>
  <c r="Q72" i="177" s="1"/>
  <c r="Q74" i="177" s="1"/>
  <c r="P67" i="177"/>
  <c r="P72" i="177" s="1"/>
  <c r="P74" i="177" s="1"/>
  <c r="O67" i="177"/>
  <c r="O72" i="177" s="1"/>
  <c r="O74" i="177" s="1"/>
  <c r="N67" i="177"/>
  <c r="N72" i="177" s="1"/>
  <c r="N74" i="177" s="1"/>
  <c r="M67" i="177"/>
  <c r="M72" i="177" s="1"/>
  <c r="M74" i="177" s="1"/>
  <c r="L67" i="177"/>
  <c r="L72" i="177" s="1"/>
  <c r="L74" i="177" s="1"/>
  <c r="K67" i="177"/>
  <c r="K72" i="177" s="1"/>
  <c r="K74" i="177" s="1"/>
  <c r="J67" i="177"/>
  <c r="J72" i="177" s="1"/>
  <c r="J74" i="177" s="1"/>
  <c r="I67" i="177"/>
  <c r="H67" i="177"/>
  <c r="H72" i="177" s="1"/>
  <c r="H74" i="177" s="1"/>
  <c r="G67" i="177"/>
  <c r="F67" i="177"/>
  <c r="F72" i="177" s="1"/>
  <c r="F74" i="177" s="1"/>
  <c r="E67" i="177"/>
  <c r="E72" i="177" s="1"/>
  <c r="E74" i="177" s="1"/>
  <c r="D67" i="177"/>
  <c r="D72" i="177" s="1"/>
  <c r="D74" i="177" s="1"/>
  <c r="C67" i="177"/>
  <c r="C72" i="177" s="1"/>
  <c r="C74" i="177" s="1"/>
  <c r="B67" i="177"/>
  <c r="B72" i="177" s="1"/>
  <c r="B74" i="177" s="1"/>
  <c r="W66" i="177"/>
  <c r="W65" i="177"/>
  <c r="W64" i="177"/>
  <c r="W63" i="177"/>
  <c r="W62" i="177"/>
  <c r="W61" i="177"/>
  <c r="W60" i="177"/>
  <c r="T50" i="177"/>
  <c r="S50" i="177"/>
  <c r="R50" i="177"/>
  <c r="Q50" i="177"/>
  <c r="P50" i="177"/>
  <c r="O50" i="177"/>
  <c r="G50" i="177"/>
  <c r="F50" i="177"/>
  <c r="E50" i="177"/>
  <c r="D50" i="177"/>
  <c r="C50" i="177"/>
  <c r="B50" i="177"/>
  <c r="T49" i="177"/>
  <c r="S49" i="177"/>
  <c r="R49" i="177"/>
  <c r="Q49" i="177"/>
  <c r="P49" i="177"/>
  <c r="O49" i="177"/>
  <c r="G49" i="177"/>
  <c r="F49" i="177"/>
  <c r="E49" i="177"/>
  <c r="D49" i="177"/>
  <c r="C49" i="177"/>
  <c r="B49" i="177"/>
  <c r="U48" i="177"/>
  <c r="H48" i="177"/>
  <c r="T46" i="177"/>
  <c r="T51" i="177" s="1"/>
  <c r="T53" i="177" s="1"/>
  <c r="S46" i="177"/>
  <c r="S51" i="177" s="1"/>
  <c r="S53" i="177" s="1"/>
  <c r="R46" i="177"/>
  <c r="R51" i="177" s="1"/>
  <c r="R53" i="177" s="1"/>
  <c r="Q46" i="177"/>
  <c r="Q51" i="177" s="1"/>
  <c r="Q53" i="177" s="1"/>
  <c r="P46" i="177"/>
  <c r="P51" i="177" s="1"/>
  <c r="P53" i="177" s="1"/>
  <c r="O46" i="177"/>
  <c r="O51" i="177" s="1"/>
  <c r="O53" i="177" s="1"/>
  <c r="G46" i="177"/>
  <c r="G51" i="177" s="1"/>
  <c r="G53" i="177" s="1"/>
  <c r="F46" i="177"/>
  <c r="F51" i="177" s="1"/>
  <c r="F53" i="177" s="1"/>
  <c r="E46" i="177"/>
  <c r="E51" i="177" s="1"/>
  <c r="E53" i="177" s="1"/>
  <c r="D46" i="177"/>
  <c r="D51" i="177" s="1"/>
  <c r="D53" i="177" s="1"/>
  <c r="C46" i="177"/>
  <c r="C51" i="177" s="1"/>
  <c r="C53" i="177" s="1"/>
  <c r="B46" i="177"/>
  <c r="B51" i="177" s="1"/>
  <c r="B53" i="177" s="1"/>
  <c r="U45" i="177"/>
  <c r="H45" i="177"/>
  <c r="U44" i="177"/>
  <c r="H44" i="177"/>
  <c r="U43" i="177"/>
  <c r="H43" i="177"/>
  <c r="U42" i="177"/>
  <c r="H42" i="177"/>
  <c r="U41" i="177"/>
  <c r="H41" i="177"/>
  <c r="U40" i="177"/>
  <c r="H40" i="177"/>
  <c r="U39" i="177"/>
  <c r="H39" i="177"/>
  <c r="V29" i="177"/>
  <c r="U29" i="177"/>
  <c r="T29" i="177"/>
  <c r="S29" i="177"/>
  <c r="R29" i="177"/>
  <c r="Q29" i="177"/>
  <c r="P29" i="177"/>
  <c r="O29" i="177"/>
  <c r="N29" i="177"/>
  <c r="M29" i="177"/>
  <c r="L29" i="177"/>
  <c r="K29" i="177"/>
  <c r="J29" i="177"/>
  <c r="I29" i="177"/>
  <c r="H29" i="177"/>
  <c r="G29" i="177"/>
  <c r="F29" i="177"/>
  <c r="E29" i="177"/>
  <c r="D29" i="177"/>
  <c r="C29" i="177"/>
  <c r="B29" i="177"/>
  <c r="V28" i="177"/>
  <c r="U28" i="177"/>
  <c r="T28" i="177"/>
  <c r="S28" i="177"/>
  <c r="R28" i="177"/>
  <c r="Q28" i="177"/>
  <c r="P28" i="177"/>
  <c r="O28" i="177"/>
  <c r="N28" i="177"/>
  <c r="M28" i="177"/>
  <c r="L28" i="177"/>
  <c r="K28" i="177"/>
  <c r="J28" i="177"/>
  <c r="I28" i="177"/>
  <c r="H28" i="177"/>
  <c r="G28" i="177"/>
  <c r="F28" i="177"/>
  <c r="E28" i="177"/>
  <c r="D28" i="177"/>
  <c r="C28" i="177"/>
  <c r="B28" i="177"/>
  <c r="W27" i="177"/>
  <c r="V25" i="177"/>
  <c r="V30" i="177" s="1"/>
  <c r="V32" i="177" s="1"/>
  <c r="U25" i="177"/>
  <c r="U30" i="177" s="1"/>
  <c r="U32" i="177" s="1"/>
  <c r="T25" i="177"/>
  <c r="T30" i="177" s="1"/>
  <c r="T32" i="177" s="1"/>
  <c r="S25" i="177"/>
  <c r="S30" i="177" s="1"/>
  <c r="S32" i="177" s="1"/>
  <c r="R25" i="177"/>
  <c r="R30" i="177" s="1"/>
  <c r="R32" i="177" s="1"/>
  <c r="Q25" i="177"/>
  <c r="Q30" i="177" s="1"/>
  <c r="Q32" i="177" s="1"/>
  <c r="P25" i="177"/>
  <c r="P30" i="177" s="1"/>
  <c r="P32" i="177" s="1"/>
  <c r="O25" i="177"/>
  <c r="O30" i="177" s="1"/>
  <c r="O32" i="177" s="1"/>
  <c r="N25" i="177"/>
  <c r="N30" i="177" s="1"/>
  <c r="N32" i="177" s="1"/>
  <c r="M25" i="177"/>
  <c r="M30" i="177" s="1"/>
  <c r="M32" i="177" s="1"/>
  <c r="L25" i="177"/>
  <c r="K25" i="177"/>
  <c r="K30" i="177" s="1"/>
  <c r="K32" i="177" s="1"/>
  <c r="J25" i="177"/>
  <c r="I25" i="177"/>
  <c r="I30" i="177" s="1"/>
  <c r="I32" i="177" s="1"/>
  <c r="H25" i="177"/>
  <c r="H30" i="177" s="1"/>
  <c r="H32" i="177" s="1"/>
  <c r="G25" i="177"/>
  <c r="F25" i="177"/>
  <c r="F30" i="177" s="1"/>
  <c r="F32" i="177" s="1"/>
  <c r="E25" i="177"/>
  <c r="E30" i="177" s="1"/>
  <c r="E32" i="177" s="1"/>
  <c r="D25" i="177"/>
  <c r="D30" i="177" s="1"/>
  <c r="D32" i="177" s="1"/>
  <c r="C25" i="177"/>
  <c r="C30" i="177" s="1"/>
  <c r="C32" i="177" s="1"/>
  <c r="B25" i="177"/>
  <c r="B30" i="177" s="1"/>
  <c r="B32" i="177" s="1"/>
  <c r="W24" i="177"/>
  <c r="W23" i="177"/>
  <c r="W22" i="177"/>
  <c r="W21" i="177"/>
  <c r="W20" i="177"/>
  <c r="W19" i="177"/>
  <c r="W18" i="177"/>
  <c r="U11" i="177"/>
  <c r="S73" i="177" l="1"/>
  <c r="G31" i="177"/>
  <c r="I73" i="177"/>
  <c r="U73" i="177"/>
  <c r="L31" i="177"/>
  <c r="G73" i="177"/>
  <c r="J31" i="177"/>
  <c r="J30" i="177"/>
  <c r="J32" i="177" s="1"/>
  <c r="R52" i="177"/>
  <c r="S52" i="177"/>
  <c r="G30" i="177"/>
  <c r="G32" i="177" s="1"/>
  <c r="M31" i="177"/>
  <c r="L30" i="177"/>
  <c r="L32" i="177" s="1"/>
  <c r="S72" i="177"/>
  <c r="S74" i="177" s="1"/>
  <c r="N73" i="177"/>
  <c r="C73" i="177"/>
  <c r="O73" i="177"/>
  <c r="B73" i="177"/>
  <c r="E73" i="177"/>
  <c r="Q73" i="177"/>
  <c r="F73" i="177"/>
  <c r="R73" i="177"/>
  <c r="D73" i="177"/>
  <c r="H73" i="177"/>
  <c r="V73" i="177"/>
  <c r="P73" i="177"/>
  <c r="I72" i="177"/>
  <c r="I74" i="177" s="1"/>
  <c r="U72" i="177"/>
  <c r="U74" i="177" s="1"/>
  <c r="K73" i="177"/>
  <c r="T73" i="177"/>
  <c r="J73" i="177"/>
  <c r="W67" i="177"/>
  <c r="W70" i="177" s="1"/>
  <c r="M73" i="177"/>
  <c r="G72" i="177"/>
  <c r="G74" i="177" s="1"/>
  <c r="T52" i="177"/>
  <c r="U46" i="177"/>
  <c r="U49" i="177" s="1"/>
  <c r="O52" i="177"/>
  <c r="P52" i="177"/>
  <c r="Q52" i="177"/>
  <c r="C52" i="177"/>
  <c r="D52" i="177"/>
  <c r="E52" i="177"/>
  <c r="F52" i="177"/>
  <c r="G52" i="177"/>
  <c r="B52" i="177"/>
  <c r="H31" i="177"/>
  <c r="T31" i="177"/>
  <c r="I31" i="177"/>
  <c r="U31" i="177"/>
  <c r="V31" i="177"/>
  <c r="K31" i="177"/>
  <c r="S31" i="177"/>
  <c r="W25" i="177"/>
  <c r="W28" i="177" s="1"/>
  <c r="D31" i="177"/>
  <c r="P31" i="177"/>
  <c r="E31" i="177"/>
  <c r="Q31" i="177"/>
  <c r="F31" i="177"/>
  <c r="R31" i="177"/>
  <c r="N31" i="177"/>
  <c r="C31" i="177"/>
  <c r="O31" i="177"/>
  <c r="L73" i="177"/>
  <c r="B31" i="177"/>
  <c r="H46" i="177"/>
  <c r="U47" i="177" l="1"/>
  <c r="W68" i="177"/>
  <c r="W26" i="177"/>
  <c r="H49" i="177"/>
  <c r="H47" i="177"/>
  <c r="U51" i="175" l="1"/>
  <c r="U53" i="175" s="1"/>
  <c r="U50" i="175"/>
  <c r="U52" i="175" s="1"/>
  <c r="U49" i="175"/>
  <c r="T49" i="175"/>
  <c r="T50" i="175"/>
  <c r="X67" i="175" l="1"/>
  <c r="X72" i="175" s="1"/>
  <c r="X74" i="175" s="1"/>
  <c r="X70" i="175"/>
  <c r="X71" i="175"/>
  <c r="P67" i="175"/>
  <c r="P72" i="175" s="1"/>
  <c r="P74" i="175" s="1"/>
  <c r="P70" i="175"/>
  <c r="P71" i="175"/>
  <c r="X73" i="175" l="1"/>
  <c r="P73" i="175"/>
  <c r="C28" i="176"/>
  <c r="D28" i="176"/>
  <c r="E28" i="176"/>
  <c r="F28" i="176"/>
  <c r="G28" i="176"/>
  <c r="H28" i="176"/>
  <c r="I28" i="176"/>
  <c r="J28" i="176"/>
  <c r="K28" i="176"/>
  <c r="L28" i="176"/>
  <c r="M28" i="176"/>
  <c r="N28" i="176"/>
  <c r="O28" i="176"/>
  <c r="P28" i="176"/>
  <c r="Q28" i="176"/>
  <c r="R28" i="176"/>
  <c r="S28" i="176"/>
  <c r="T28" i="176"/>
  <c r="U28" i="176"/>
  <c r="V28" i="176"/>
  <c r="B28" i="176"/>
  <c r="C49" i="176"/>
  <c r="D49" i="176"/>
  <c r="E49" i="176"/>
  <c r="F49" i="176"/>
  <c r="G49" i="176"/>
  <c r="B49" i="176"/>
  <c r="V71" i="176" l="1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C71" i="176"/>
  <c r="B71" i="176"/>
  <c r="V70" i="176"/>
  <c r="U70" i="176"/>
  <c r="T70" i="176"/>
  <c r="S70" i="176"/>
  <c r="R70" i="176"/>
  <c r="Q70" i="176"/>
  <c r="P70" i="176"/>
  <c r="O70" i="176"/>
  <c r="N70" i="176"/>
  <c r="M70" i="176"/>
  <c r="L70" i="176"/>
  <c r="K70" i="176"/>
  <c r="J70" i="176"/>
  <c r="I70" i="176"/>
  <c r="H70" i="176"/>
  <c r="G70" i="176"/>
  <c r="F70" i="176"/>
  <c r="E70" i="176"/>
  <c r="D70" i="176"/>
  <c r="C70" i="176"/>
  <c r="B70" i="176"/>
  <c r="W69" i="176"/>
  <c r="V67" i="176"/>
  <c r="V72" i="176" s="1"/>
  <c r="V74" i="176" s="1"/>
  <c r="U67" i="176"/>
  <c r="U72" i="176" s="1"/>
  <c r="U74" i="176" s="1"/>
  <c r="T67" i="176"/>
  <c r="S67" i="176"/>
  <c r="R67" i="176"/>
  <c r="R72" i="176" s="1"/>
  <c r="R74" i="176" s="1"/>
  <c r="Q67" i="176"/>
  <c r="Q72" i="176" s="1"/>
  <c r="Q74" i="176" s="1"/>
  <c r="P67" i="176"/>
  <c r="O67" i="176"/>
  <c r="O72" i="176" s="1"/>
  <c r="O74" i="176" s="1"/>
  <c r="N67" i="176"/>
  <c r="N72" i="176" s="1"/>
  <c r="N74" i="176" s="1"/>
  <c r="M67" i="176"/>
  <c r="M72" i="176" s="1"/>
  <c r="M74" i="176" s="1"/>
  <c r="L67" i="176"/>
  <c r="K67" i="176"/>
  <c r="K72" i="176" s="1"/>
  <c r="K74" i="176" s="1"/>
  <c r="J67" i="176"/>
  <c r="J72" i="176" s="1"/>
  <c r="J74" i="176" s="1"/>
  <c r="I67" i="176"/>
  <c r="H67" i="176"/>
  <c r="H72" i="176" s="1"/>
  <c r="H74" i="176" s="1"/>
  <c r="G67" i="176"/>
  <c r="G72" i="176" s="1"/>
  <c r="G74" i="176" s="1"/>
  <c r="F67" i="176"/>
  <c r="F72" i="176" s="1"/>
  <c r="F74" i="176" s="1"/>
  <c r="E67" i="176"/>
  <c r="D67" i="176"/>
  <c r="C67" i="176"/>
  <c r="C72" i="176" s="1"/>
  <c r="C74" i="176" s="1"/>
  <c r="B67" i="176"/>
  <c r="B72" i="176" s="1"/>
  <c r="B74" i="176" s="1"/>
  <c r="W66" i="176"/>
  <c r="W65" i="176"/>
  <c r="W64" i="176"/>
  <c r="W63" i="176"/>
  <c r="W62" i="176"/>
  <c r="W61" i="176"/>
  <c r="W60" i="176"/>
  <c r="T50" i="176"/>
  <c r="S50" i="176"/>
  <c r="R50" i="176"/>
  <c r="Q50" i="176"/>
  <c r="P50" i="176"/>
  <c r="O50" i="176"/>
  <c r="G50" i="176"/>
  <c r="F50" i="176"/>
  <c r="E50" i="176"/>
  <c r="D50" i="176"/>
  <c r="C50" i="176"/>
  <c r="B50" i="176"/>
  <c r="T49" i="176"/>
  <c r="S49" i="176"/>
  <c r="R49" i="176"/>
  <c r="Q49" i="176"/>
  <c r="P49" i="176"/>
  <c r="O49" i="176"/>
  <c r="U48" i="176"/>
  <c r="H48" i="176"/>
  <c r="T46" i="176"/>
  <c r="T51" i="176" s="1"/>
  <c r="T53" i="176" s="1"/>
  <c r="S46" i="176"/>
  <c r="S51" i="176" s="1"/>
  <c r="S53" i="176" s="1"/>
  <c r="R46" i="176"/>
  <c r="R51" i="176" s="1"/>
  <c r="R53" i="176" s="1"/>
  <c r="Q46" i="176"/>
  <c r="Q51" i="176" s="1"/>
  <c r="Q53" i="176" s="1"/>
  <c r="P46" i="176"/>
  <c r="P51" i="176" s="1"/>
  <c r="P53" i="176" s="1"/>
  <c r="O46" i="176"/>
  <c r="G46" i="176"/>
  <c r="G51" i="176" s="1"/>
  <c r="G53" i="176" s="1"/>
  <c r="F46" i="176"/>
  <c r="F51" i="176" s="1"/>
  <c r="F53" i="176" s="1"/>
  <c r="E46" i="176"/>
  <c r="E51" i="176" s="1"/>
  <c r="E53" i="176" s="1"/>
  <c r="D46" i="176"/>
  <c r="D51" i="176" s="1"/>
  <c r="D53" i="176" s="1"/>
  <c r="C46" i="176"/>
  <c r="C51" i="176" s="1"/>
  <c r="C53" i="176" s="1"/>
  <c r="B46" i="176"/>
  <c r="B51" i="176" s="1"/>
  <c r="B53" i="176" s="1"/>
  <c r="U45" i="176"/>
  <c r="H45" i="176"/>
  <c r="U44" i="176"/>
  <c r="H44" i="176"/>
  <c r="U43" i="176"/>
  <c r="H43" i="176"/>
  <c r="U42" i="176"/>
  <c r="H42" i="176"/>
  <c r="U41" i="176"/>
  <c r="H41" i="176"/>
  <c r="U40" i="176"/>
  <c r="H40" i="176"/>
  <c r="U39" i="176"/>
  <c r="H39" i="176"/>
  <c r="V29" i="176"/>
  <c r="U29" i="176"/>
  <c r="T29" i="176"/>
  <c r="S29" i="176"/>
  <c r="R29" i="176"/>
  <c r="Q29" i="176"/>
  <c r="P29" i="176"/>
  <c r="O29" i="176"/>
  <c r="N29" i="176"/>
  <c r="M29" i="176"/>
  <c r="L29" i="176"/>
  <c r="K29" i="176"/>
  <c r="J29" i="176"/>
  <c r="I29" i="176"/>
  <c r="H29" i="176"/>
  <c r="G29" i="176"/>
  <c r="F29" i="176"/>
  <c r="E29" i="176"/>
  <c r="D29" i="176"/>
  <c r="C29" i="176"/>
  <c r="B29" i="176"/>
  <c r="W27" i="176"/>
  <c r="V25" i="176"/>
  <c r="U25" i="176"/>
  <c r="T25" i="176"/>
  <c r="S25" i="176"/>
  <c r="R25" i="176"/>
  <c r="Q25" i="176"/>
  <c r="P25" i="176"/>
  <c r="P30" i="176" s="1"/>
  <c r="P32" i="176" s="1"/>
  <c r="O25" i="176"/>
  <c r="O30" i="176" s="1"/>
  <c r="O32" i="176" s="1"/>
  <c r="N25" i="176"/>
  <c r="M25" i="176"/>
  <c r="M30" i="176" s="1"/>
  <c r="M32" i="176" s="1"/>
  <c r="L25" i="176"/>
  <c r="K25" i="176"/>
  <c r="K30" i="176" s="1"/>
  <c r="K32" i="176" s="1"/>
  <c r="J25" i="176"/>
  <c r="I25" i="176"/>
  <c r="I30" i="176" s="1"/>
  <c r="I32" i="176" s="1"/>
  <c r="H25" i="176"/>
  <c r="H30" i="176" s="1"/>
  <c r="H32" i="176" s="1"/>
  <c r="G25" i="176"/>
  <c r="G30" i="176" s="1"/>
  <c r="G32" i="176" s="1"/>
  <c r="F25" i="176"/>
  <c r="E25" i="176"/>
  <c r="E30" i="176" s="1"/>
  <c r="E32" i="176" s="1"/>
  <c r="D25" i="176"/>
  <c r="D30" i="176" s="1"/>
  <c r="D32" i="176" s="1"/>
  <c r="C25" i="176"/>
  <c r="C30" i="176" s="1"/>
  <c r="C32" i="176" s="1"/>
  <c r="B25" i="176"/>
  <c r="B30" i="176" s="1"/>
  <c r="B32" i="176" s="1"/>
  <c r="W24" i="176"/>
  <c r="W23" i="176"/>
  <c r="W22" i="176"/>
  <c r="W21" i="176"/>
  <c r="W20" i="176"/>
  <c r="W19" i="176"/>
  <c r="W18" i="176"/>
  <c r="U11" i="176"/>
  <c r="Q31" i="176" l="1"/>
  <c r="V31" i="176"/>
  <c r="R30" i="176"/>
  <c r="R32" i="176" s="1"/>
  <c r="R31" i="176"/>
  <c r="S30" i="176"/>
  <c r="S32" i="176" s="1"/>
  <c r="S31" i="176"/>
  <c r="U30" i="176"/>
  <c r="U32" i="176" s="1"/>
  <c r="U31" i="176"/>
  <c r="T30" i="176"/>
  <c r="T32" i="176" s="1"/>
  <c r="T31" i="176"/>
  <c r="L30" i="176"/>
  <c r="L32" i="176" s="1"/>
  <c r="L31" i="176"/>
  <c r="R52" i="176"/>
  <c r="W25" i="176"/>
  <c r="W28" i="176" s="1"/>
  <c r="L73" i="176"/>
  <c r="O52" i="176"/>
  <c r="F31" i="176"/>
  <c r="N31" i="176"/>
  <c r="E73" i="176"/>
  <c r="T73" i="176"/>
  <c r="B73" i="176"/>
  <c r="J73" i="176"/>
  <c r="Q73" i="176"/>
  <c r="J31" i="176"/>
  <c r="O51" i="176"/>
  <c r="O53" i="176" s="1"/>
  <c r="I73" i="176"/>
  <c r="P73" i="176"/>
  <c r="S72" i="176"/>
  <c r="S74" i="176" s="1"/>
  <c r="W67" i="176"/>
  <c r="W68" i="176" s="1"/>
  <c r="C73" i="176"/>
  <c r="K73" i="176"/>
  <c r="R73" i="176"/>
  <c r="F73" i="176"/>
  <c r="N73" i="176"/>
  <c r="U73" i="176"/>
  <c r="L72" i="176"/>
  <c r="L74" i="176" s="1"/>
  <c r="G73" i="176"/>
  <c r="O73" i="176"/>
  <c r="V73" i="176"/>
  <c r="D72" i="176"/>
  <c r="D74" i="176" s="1"/>
  <c r="S52" i="176"/>
  <c r="T52" i="176"/>
  <c r="P52" i="176"/>
  <c r="Q52" i="176"/>
  <c r="B52" i="176"/>
  <c r="E52" i="176"/>
  <c r="C52" i="176"/>
  <c r="F52" i="176"/>
  <c r="D52" i="176"/>
  <c r="C31" i="176"/>
  <c r="D31" i="176"/>
  <c r="K31" i="176"/>
  <c r="N30" i="176"/>
  <c r="N32" i="176" s="1"/>
  <c r="G31" i="176"/>
  <c r="O31" i="176"/>
  <c r="V30" i="176"/>
  <c r="V32" i="176" s="1"/>
  <c r="H31" i="176"/>
  <c r="P31" i="176"/>
  <c r="F30" i="176"/>
  <c r="F32" i="176" s="1"/>
  <c r="I72" i="176"/>
  <c r="I74" i="176" s="1"/>
  <c r="P72" i="176"/>
  <c r="P74" i="176" s="1"/>
  <c r="I31" i="176"/>
  <c r="H73" i="176"/>
  <c r="B31" i="176"/>
  <c r="Q30" i="176"/>
  <c r="Q32" i="176" s="1"/>
  <c r="U46" i="176"/>
  <c r="E31" i="176"/>
  <c r="G52" i="176"/>
  <c r="H46" i="176"/>
  <c r="J30" i="176"/>
  <c r="J32" i="176" s="1"/>
  <c r="M31" i="176"/>
  <c r="M73" i="176"/>
  <c r="E72" i="176"/>
  <c r="E74" i="176" s="1"/>
  <c r="T72" i="176"/>
  <c r="T74" i="176" s="1"/>
  <c r="D73" i="176" l="1"/>
  <c r="S73" i="176"/>
  <c r="W26" i="176"/>
  <c r="W70" i="176"/>
  <c r="U49" i="176"/>
  <c r="U47" i="176"/>
  <c r="H49" i="176"/>
  <c r="H47" i="176"/>
  <c r="V41" i="175"/>
  <c r="V42" i="175"/>
  <c r="V43" i="175"/>
  <c r="V44" i="175"/>
  <c r="V45" i="175"/>
  <c r="Y62" i="175"/>
  <c r="U50" i="174" l="1"/>
  <c r="U49" i="174"/>
  <c r="U46" i="174"/>
  <c r="U51" i="174" s="1"/>
  <c r="U53" i="174" s="1"/>
  <c r="U52" i="174" l="1"/>
  <c r="O49" i="175"/>
  <c r="W71" i="175" l="1"/>
  <c r="V71" i="175"/>
  <c r="U71" i="175"/>
  <c r="T71" i="175"/>
  <c r="S71" i="175"/>
  <c r="R71" i="175"/>
  <c r="Q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C71" i="175"/>
  <c r="B71" i="175"/>
  <c r="W70" i="175"/>
  <c r="V70" i="175"/>
  <c r="U70" i="175"/>
  <c r="T70" i="175"/>
  <c r="S70" i="175"/>
  <c r="R70" i="175"/>
  <c r="Q70" i="175"/>
  <c r="O70" i="175"/>
  <c r="N70" i="175"/>
  <c r="M70" i="175"/>
  <c r="L70" i="175"/>
  <c r="K70" i="175"/>
  <c r="J70" i="175"/>
  <c r="I70" i="175"/>
  <c r="H70" i="175"/>
  <c r="G70" i="175"/>
  <c r="F70" i="175"/>
  <c r="E70" i="175"/>
  <c r="D70" i="175"/>
  <c r="C70" i="175"/>
  <c r="B70" i="175"/>
  <c r="Y69" i="175"/>
  <c r="W67" i="175"/>
  <c r="W72" i="175" s="1"/>
  <c r="W74" i="175" s="1"/>
  <c r="V67" i="175"/>
  <c r="V72" i="175" s="1"/>
  <c r="V74" i="175" s="1"/>
  <c r="U67" i="175"/>
  <c r="U72" i="175" s="1"/>
  <c r="U74" i="175" s="1"/>
  <c r="T67" i="175"/>
  <c r="S67" i="175"/>
  <c r="R67" i="175"/>
  <c r="R72" i="175" s="1"/>
  <c r="R74" i="175" s="1"/>
  <c r="Q67" i="175"/>
  <c r="Q72" i="175" s="1"/>
  <c r="Q74" i="175" s="1"/>
  <c r="O67" i="175"/>
  <c r="O72" i="175" s="1"/>
  <c r="O74" i="175" s="1"/>
  <c r="N67" i="175"/>
  <c r="N72" i="175" s="1"/>
  <c r="N74" i="175" s="1"/>
  <c r="M67" i="175"/>
  <c r="M72" i="175" s="1"/>
  <c r="M74" i="175" s="1"/>
  <c r="L67" i="175"/>
  <c r="L72" i="175" s="1"/>
  <c r="L74" i="175" s="1"/>
  <c r="K67" i="175"/>
  <c r="K72" i="175" s="1"/>
  <c r="K74" i="175" s="1"/>
  <c r="J67" i="175"/>
  <c r="J72" i="175" s="1"/>
  <c r="J74" i="175" s="1"/>
  <c r="I67" i="175"/>
  <c r="H67" i="175"/>
  <c r="G67" i="175"/>
  <c r="G72" i="175" s="1"/>
  <c r="G74" i="175" s="1"/>
  <c r="F67" i="175"/>
  <c r="F72" i="175" s="1"/>
  <c r="F74" i="175" s="1"/>
  <c r="E67" i="175"/>
  <c r="E72" i="175" s="1"/>
  <c r="E74" i="175" s="1"/>
  <c r="D67" i="175"/>
  <c r="C67" i="175"/>
  <c r="C72" i="175" s="1"/>
  <c r="C74" i="175" s="1"/>
  <c r="B67" i="175"/>
  <c r="B72" i="175" s="1"/>
  <c r="B74" i="175" s="1"/>
  <c r="Y66" i="175"/>
  <c r="Y65" i="175"/>
  <c r="Y64" i="175"/>
  <c r="Y63" i="175"/>
  <c r="Y61" i="175"/>
  <c r="Z61" i="175" s="1"/>
  <c r="Y60" i="175"/>
  <c r="Z60" i="175" s="1"/>
  <c r="S50" i="175"/>
  <c r="R50" i="175"/>
  <c r="Q50" i="175"/>
  <c r="P50" i="175"/>
  <c r="O50" i="175"/>
  <c r="G50" i="175"/>
  <c r="F50" i="175"/>
  <c r="E50" i="175"/>
  <c r="D50" i="175"/>
  <c r="C50" i="175"/>
  <c r="B50" i="175"/>
  <c r="S49" i="175"/>
  <c r="R49" i="175"/>
  <c r="Q49" i="175"/>
  <c r="P49" i="175"/>
  <c r="G49" i="175"/>
  <c r="F49" i="175"/>
  <c r="E49" i="175"/>
  <c r="D49" i="175"/>
  <c r="C49" i="175"/>
  <c r="B49" i="175"/>
  <c r="H48" i="175"/>
  <c r="T46" i="175"/>
  <c r="S46" i="175"/>
  <c r="S51" i="175" s="1"/>
  <c r="S53" i="175" s="1"/>
  <c r="R46" i="175"/>
  <c r="R51" i="175" s="1"/>
  <c r="R53" i="175" s="1"/>
  <c r="Q46" i="175"/>
  <c r="Q51" i="175" s="1"/>
  <c r="Q53" i="175" s="1"/>
  <c r="P46" i="175"/>
  <c r="P51" i="175" s="1"/>
  <c r="P53" i="175" s="1"/>
  <c r="O46" i="175"/>
  <c r="O51" i="175" s="1"/>
  <c r="O53" i="175" s="1"/>
  <c r="G46" i="175"/>
  <c r="F46" i="175"/>
  <c r="F51" i="175" s="1"/>
  <c r="F53" i="175" s="1"/>
  <c r="E46" i="175"/>
  <c r="E51" i="175" s="1"/>
  <c r="E53" i="175" s="1"/>
  <c r="D46" i="175"/>
  <c r="D51" i="175" s="1"/>
  <c r="D53" i="175" s="1"/>
  <c r="C46" i="175"/>
  <c r="C51" i="175" s="1"/>
  <c r="C53" i="175" s="1"/>
  <c r="B46" i="175"/>
  <c r="B51" i="175" s="1"/>
  <c r="B53" i="175" s="1"/>
  <c r="H45" i="175"/>
  <c r="H44" i="175"/>
  <c r="H43" i="175"/>
  <c r="H42" i="175"/>
  <c r="H41" i="175"/>
  <c r="V40" i="175"/>
  <c r="W40" i="175" s="1"/>
  <c r="H40" i="175"/>
  <c r="V39" i="175"/>
  <c r="W39" i="175" s="1"/>
  <c r="H39" i="175"/>
  <c r="V29" i="175"/>
  <c r="U29" i="175"/>
  <c r="T29" i="175"/>
  <c r="S29" i="175"/>
  <c r="R29" i="175"/>
  <c r="Q29" i="175"/>
  <c r="P29" i="175"/>
  <c r="O29" i="175"/>
  <c r="N29" i="175"/>
  <c r="M29" i="175"/>
  <c r="L29" i="175"/>
  <c r="K29" i="175"/>
  <c r="J29" i="175"/>
  <c r="I29" i="175"/>
  <c r="H29" i="175"/>
  <c r="G29" i="175"/>
  <c r="F29" i="175"/>
  <c r="E29" i="175"/>
  <c r="D29" i="175"/>
  <c r="C29" i="175"/>
  <c r="B29" i="175"/>
  <c r="V28" i="175"/>
  <c r="U28" i="175"/>
  <c r="T28" i="175"/>
  <c r="S28" i="175"/>
  <c r="R28" i="175"/>
  <c r="Q28" i="175"/>
  <c r="P28" i="175"/>
  <c r="O28" i="175"/>
  <c r="N28" i="175"/>
  <c r="M28" i="175"/>
  <c r="L28" i="175"/>
  <c r="K28" i="175"/>
  <c r="J28" i="175"/>
  <c r="I28" i="175"/>
  <c r="H28" i="175"/>
  <c r="G28" i="175"/>
  <c r="F28" i="175"/>
  <c r="E28" i="175"/>
  <c r="D28" i="175"/>
  <c r="C28" i="175"/>
  <c r="B28" i="175"/>
  <c r="W27" i="175"/>
  <c r="V25" i="175"/>
  <c r="V30" i="175" s="1"/>
  <c r="V32" i="175" s="1"/>
  <c r="U25" i="175"/>
  <c r="U30" i="175" s="1"/>
  <c r="U32" i="175" s="1"/>
  <c r="T25" i="175"/>
  <c r="T30" i="175" s="1"/>
  <c r="T32" i="175" s="1"/>
  <c r="S25" i="175"/>
  <c r="S30" i="175" s="1"/>
  <c r="S32" i="175" s="1"/>
  <c r="R25" i="175"/>
  <c r="R30" i="175" s="1"/>
  <c r="R32" i="175" s="1"/>
  <c r="Q25" i="175"/>
  <c r="Q30" i="175" s="1"/>
  <c r="Q32" i="175" s="1"/>
  <c r="P25" i="175"/>
  <c r="P30" i="175" s="1"/>
  <c r="P32" i="175" s="1"/>
  <c r="O25" i="175"/>
  <c r="O30" i="175" s="1"/>
  <c r="O32" i="175" s="1"/>
  <c r="N25" i="175"/>
  <c r="N30" i="175" s="1"/>
  <c r="N32" i="175" s="1"/>
  <c r="M25" i="175"/>
  <c r="M30" i="175" s="1"/>
  <c r="M32" i="175" s="1"/>
  <c r="L25" i="175"/>
  <c r="L30" i="175" s="1"/>
  <c r="L32" i="175" s="1"/>
  <c r="K25" i="175"/>
  <c r="K30" i="175" s="1"/>
  <c r="K32" i="175" s="1"/>
  <c r="J25" i="175"/>
  <c r="I25" i="175"/>
  <c r="I30" i="175" s="1"/>
  <c r="I32" i="175" s="1"/>
  <c r="H25" i="175"/>
  <c r="H30" i="175" s="1"/>
  <c r="H32" i="175" s="1"/>
  <c r="G25" i="175"/>
  <c r="G30" i="175" s="1"/>
  <c r="G32" i="175" s="1"/>
  <c r="F25" i="175"/>
  <c r="F30" i="175" s="1"/>
  <c r="F32" i="175" s="1"/>
  <c r="E25" i="175"/>
  <c r="E30" i="175" s="1"/>
  <c r="E32" i="175" s="1"/>
  <c r="D25" i="175"/>
  <c r="D30" i="175" s="1"/>
  <c r="D32" i="175" s="1"/>
  <c r="C25" i="175"/>
  <c r="C30" i="175" s="1"/>
  <c r="C32" i="175" s="1"/>
  <c r="B25" i="175"/>
  <c r="B30" i="175" s="1"/>
  <c r="B32" i="175" s="1"/>
  <c r="W24" i="175"/>
  <c r="W23" i="175"/>
  <c r="W22" i="175"/>
  <c r="W21" i="175"/>
  <c r="W20" i="175"/>
  <c r="W19" i="175"/>
  <c r="W18" i="175"/>
  <c r="U11" i="175"/>
  <c r="J31" i="175" l="1"/>
  <c r="H73" i="175"/>
  <c r="G52" i="175"/>
  <c r="T51" i="175"/>
  <c r="T53" i="175" s="1"/>
  <c r="T52" i="175"/>
  <c r="D73" i="175"/>
  <c r="I73" i="175"/>
  <c r="G51" i="175"/>
  <c r="G53" i="175" s="1"/>
  <c r="S73" i="175"/>
  <c r="T73" i="175"/>
  <c r="B52" i="175"/>
  <c r="F73" i="175"/>
  <c r="N73" i="175"/>
  <c r="V73" i="175"/>
  <c r="G73" i="175"/>
  <c r="O73" i="175"/>
  <c r="W73" i="175"/>
  <c r="Y67" i="175"/>
  <c r="Y70" i="175" s="1"/>
  <c r="P52" i="175"/>
  <c r="Q52" i="175"/>
  <c r="R52" i="175"/>
  <c r="V46" i="175"/>
  <c r="V47" i="175" s="1"/>
  <c r="S52" i="175"/>
  <c r="O52" i="175"/>
  <c r="C52" i="175"/>
  <c r="D52" i="175"/>
  <c r="E52" i="175"/>
  <c r="F52" i="175"/>
  <c r="I31" i="175"/>
  <c r="Q31" i="175"/>
  <c r="D31" i="175"/>
  <c r="L31" i="175"/>
  <c r="T31" i="175"/>
  <c r="E31" i="175"/>
  <c r="M31" i="175"/>
  <c r="U31" i="175"/>
  <c r="F31" i="175"/>
  <c r="N31" i="175"/>
  <c r="V31" i="175"/>
  <c r="G31" i="175"/>
  <c r="O31" i="175"/>
  <c r="W25" i="175"/>
  <c r="W26" i="175" s="1"/>
  <c r="H31" i="175"/>
  <c r="P31" i="175"/>
  <c r="R31" i="175"/>
  <c r="K31" i="175"/>
  <c r="H72" i="175"/>
  <c r="H74" i="175" s="1"/>
  <c r="I72" i="175"/>
  <c r="I74" i="175" s="1"/>
  <c r="J73" i="175"/>
  <c r="J30" i="175"/>
  <c r="J32" i="175" s="1"/>
  <c r="K73" i="175"/>
  <c r="L73" i="175"/>
  <c r="H46" i="175"/>
  <c r="D72" i="175"/>
  <c r="D74" i="175" s="1"/>
  <c r="T72" i="175"/>
  <c r="T74" i="175" s="1"/>
  <c r="E73" i="175"/>
  <c r="M73" i="175"/>
  <c r="U73" i="175"/>
  <c r="B31" i="175"/>
  <c r="C31" i="175"/>
  <c r="B73" i="175"/>
  <c r="C73" i="175"/>
  <c r="S72" i="175"/>
  <c r="S74" i="175" s="1"/>
  <c r="S31" i="175"/>
  <c r="Q73" i="175"/>
  <c r="R73" i="175"/>
  <c r="X71" i="174"/>
  <c r="W71" i="174"/>
  <c r="V71" i="174"/>
  <c r="U71" i="174"/>
  <c r="T71" i="174"/>
  <c r="S71" i="174"/>
  <c r="R71" i="174"/>
  <c r="Q71" i="174"/>
  <c r="P71" i="174"/>
  <c r="O71" i="174"/>
  <c r="N71" i="174"/>
  <c r="M71" i="174"/>
  <c r="L71" i="174"/>
  <c r="K71" i="174"/>
  <c r="J71" i="174"/>
  <c r="I71" i="174"/>
  <c r="H71" i="174"/>
  <c r="G71" i="174"/>
  <c r="F71" i="174"/>
  <c r="E71" i="174"/>
  <c r="D71" i="174"/>
  <c r="C71" i="174"/>
  <c r="B71" i="174"/>
  <c r="X70" i="174"/>
  <c r="W70" i="174"/>
  <c r="V70" i="174"/>
  <c r="U70" i="174"/>
  <c r="T70" i="174"/>
  <c r="S70" i="174"/>
  <c r="R70" i="174"/>
  <c r="Q70" i="174"/>
  <c r="P70" i="174"/>
  <c r="O70" i="174"/>
  <c r="N70" i="174"/>
  <c r="M70" i="174"/>
  <c r="L70" i="174"/>
  <c r="K70" i="174"/>
  <c r="J70" i="174"/>
  <c r="I70" i="174"/>
  <c r="H70" i="174"/>
  <c r="G70" i="174"/>
  <c r="F70" i="174"/>
  <c r="E70" i="174"/>
  <c r="D70" i="174"/>
  <c r="C70" i="174"/>
  <c r="B70" i="174"/>
  <c r="Y69" i="174"/>
  <c r="X67" i="174"/>
  <c r="W67" i="174"/>
  <c r="W72" i="174" s="1"/>
  <c r="W74" i="174" s="1"/>
  <c r="V67" i="174"/>
  <c r="V72" i="174" s="1"/>
  <c r="V74" i="174" s="1"/>
  <c r="U67" i="174"/>
  <c r="T67" i="174"/>
  <c r="T72" i="174" s="1"/>
  <c r="T74" i="174" s="1"/>
  <c r="S67" i="174"/>
  <c r="R67" i="174"/>
  <c r="R72" i="174" s="1"/>
  <c r="R74" i="174" s="1"/>
  <c r="Q67" i="174"/>
  <c r="Q72" i="174" s="1"/>
  <c r="Q74" i="174" s="1"/>
  <c r="P67" i="174"/>
  <c r="O67" i="174"/>
  <c r="N67" i="174"/>
  <c r="M67" i="174"/>
  <c r="M72" i="174" s="1"/>
  <c r="M74" i="174" s="1"/>
  <c r="L67" i="174"/>
  <c r="K67" i="174"/>
  <c r="K72" i="174" s="1"/>
  <c r="K74" i="174" s="1"/>
  <c r="J67" i="174"/>
  <c r="J72" i="174" s="1"/>
  <c r="J74" i="174" s="1"/>
  <c r="I67" i="174"/>
  <c r="H67" i="174"/>
  <c r="H72" i="174" s="1"/>
  <c r="H74" i="174" s="1"/>
  <c r="G67" i="174"/>
  <c r="G72" i="174" s="1"/>
  <c r="G74" i="174" s="1"/>
  <c r="F67" i="174"/>
  <c r="F72" i="174" s="1"/>
  <c r="F74" i="174" s="1"/>
  <c r="E67" i="174"/>
  <c r="E72" i="174" s="1"/>
  <c r="E74" i="174" s="1"/>
  <c r="D67" i="174"/>
  <c r="D72" i="174" s="1"/>
  <c r="D74" i="174" s="1"/>
  <c r="C67" i="174"/>
  <c r="C72" i="174" s="1"/>
  <c r="C74" i="174" s="1"/>
  <c r="B67" i="174"/>
  <c r="B72" i="174" s="1"/>
  <c r="B74" i="174" s="1"/>
  <c r="AA66" i="174"/>
  <c r="Y66" i="174"/>
  <c r="Z66" i="174" s="1"/>
  <c r="AA65" i="174"/>
  <c r="Y65" i="174"/>
  <c r="Z65" i="174" s="1"/>
  <c r="AA64" i="174"/>
  <c r="Y64" i="174"/>
  <c r="Z64" i="174" s="1"/>
  <c r="AA63" i="174"/>
  <c r="Y63" i="174"/>
  <c r="Z63" i="174" s="1"/>
  <c r="AA62" i="174"/>
  <c r="Y62" i="174"/>
  <c r="Z62" i="174" s="1"/>
  <c r="AA61" i="174"/>
  <c r="Y61" i="174"/>
  <c r="Z61" i="174" s="1"/>
  <c r="AA60" i="174"/>
  <c r="Y60" i="174"/>
  <c r="Z60" i="174" s="1"/>
  <c r="T50" i="174"/>
  <c r="S50" i="174"/>
  <c r="R50" i="174"/>
  <c r="Q50" i="174"/>
  <c r="P50" i="174"/>
  <c r="O50" i="174"/>
  <c r="G50" i="174"/>
  <c r="F50" i="174"/>
  <c r="E50" i="174"/>
  <c r="D50" i="174"/>
  <c r="C50" i="174"/>
  <c r="B50" i="174"/>
  <c r="T49" i="174"/>
  <c r="S49" i="174"/>
  <c r="R49" i="174"/>
  <c r="Q49" i="174"/>
  <c r="P49" i="174"/>
  <c r="O49" i="174"/>
  <c r="G49" i="174"/>
  <c r="F49" i="174"/>
  <c r="E49" i="174"/>
  <c r="D49" i="174"/>
  <c r="C49" i="174"/>
  <c r="B49" i="174"/>
  <c r="V48" i="174"/>
  <c r="H48" i="174"/>
  <c r="T46" i="174"/>
  <c r="T51" i="174" s="1"/>
  <c r="T53" i="174" s="1"/>
  <c r="S46" i="174"/>
  <c r="S51" i="174" s="1"/>
  <c r="S53" i="174" s="1"/>
  <c r="R46" i="174"/>
  <c r="R51" i="174" s="1"/>
  <c r="R53" i="174" s="1"/>
  <c r="Q46" i="174"/>
  <c r="Q51" i="174" s="1"/>
  <c r="Q53" i="174" s="1"/>
  <c r="P46" i="174"/>
  <c r="P51" i="174" s="1"/>
  <c r="P53" i="174" s="1"/>
  <c r="O46" i="174"/>
  <c r="O51" i="174" s="1"/>
  <c r="O53" i="174" s="1"/>
  <c r="G46" i="174"/>
  <c r="G51" i="174" s="1"/>
  <c r="G53" i="174" s="1"/>
  <c r="F46" i="174"/>
  <c r="F51" i="174" s="1"/>
  <c r="F53" i="174" s="1"/>
  <c r="E46" i="174"/>
  <c r="E51" i="174" s="1"/>
  <c r="E53" i="174" s="1"/>
  <c r="D46" i="174"/>
  <c r="D51" i="174" s="1"/>
  <c r="D53" i="174" s="1"/>
  <c r="C46" i="174"/>
  <c r="C51" i="174" s="1"/>
  <c r="C53" i="174" s="1"/>
  <c r="B46" i="174"/>
  <c r="B51" i="174" s="1"/>
  <c r="B53" i="174" s="1"/>
  <c r="V45" i="174"/>
  <c r="W45" i="174" s="1"/>
  <c r="H45" i="174"/>
  <c r="V44" i="174"/>
  <c r="W44" i="174" s="1"/>
  <c r="H44" i="174"/>
  <c r="V43" i="174"/>
  <c r="W43" i="174" s="1"/>
  <c r="H43" i="174"/>
  <c r="V42" i="174"/>
  <c r="W42" i="174" s="1"/>
  <c r="H42" i="174"/>
  <c r="V41" i="174"/>
  <c r="W41" i="174" s="1"/>
  <c r="H41" i="174"/>
  <c r="V40" i="174"/>
  <c r="W40" i="174" s="1"/>
  <c r="H40" i="174"/>
  <c r="V39" i="174"/>
  <c r="W39" i="174" s="1"/>
  <c r="H39" i="174"/>
  <c r="V29" i="174"/>
  <c r="U29" i="174"/>
  <c r="T29" i="174"/>
  <c r="S29" i="174"/>
  <c r="R29" i="174"/>
  <c r="Q29" i="174"/>
  <c r="P29" i="174"/>
  <c r="O29" i="174"/>
  <c r="N29" i="174"/>
  <c r="M29" i="174"/>
  <c r="L29" i="174"/>
  <c r="K29" i="174"/>
  <c r="J29" i="174"/>
  <c r="I29" i="174"/>
  <c r="H29" i="174"/>
  <c r="G29" i="174"/>
  <c r="F29" i="174"/>
  <c r="E29" i="174"/>
  <c r="D29" i="174"/>
  <c r="C29" i="174"/>
  <c r="B29" i="174"/>
  <c r="V28" i="174"/>
  <c r="U28" i="174"/>
  <c r="T28" i="174"/>
  <c r="S28" i="174"/>
  <c r="R28" i="174"/>
  <c r="Q28" i="174"/>
  <c r="P28" i="174"/>
  <c r="O28" i="174"/>
  <c r="N28" i="174"/>
  <c r="M28" i="174"/>
  <c r="L28" i="174"/>
  <c r="K28" i="174"/>
  <c r="J28" i="174"/>
  <c r="I28" i="174"/>
  <c r="H28" i="174"/>
  <c r="G28" i="174"/>
  <c r="F28" i="174"/>
  <c r="E28" i="174"/>
  <c r="D28" i="174"/>
  <c r="C28" i="174"/>
  <c r="B28" i="174"/>
  <c r="W27" i="174"/>
  <c r="V25" i="174"/>
  <c r="V30" i="174" s="1"/>
  <c r="V32" i="174" s="1"/>
  <c r="U25" i="174"/>
  <c r="U30" i="174" s="1"/>
  <c r="U32" i="174" s="1"/>
  <c r="T25" i="174"/>
  <c r="T30" i="174" s="1"/>
  <c r="T32" i="174" s="1"/>
  <c r="S25" i="174"/>
  <c r="S30" i="174" s="1"/>
  <c r="S32" i="174" s="1"/>
  <c r="R25" i="174"/>
  <c r="R30" i="174" s="1"/>
  <c r="R32" i="174" s="1"/>
  <c r="Q25" i="174"/>
  <c r="P25" i="174"/>
  <c r="O25" i="174"/>
  <c r="O30" i="174" s="1"/>
  <c r="O32" i="174" s="1"/>
  <c r="N25" i="174"/>
  <c r="N30" i="174" s="1"/>
  <c r="N32" i="174" s="1"/>
  <c r="M25" i="174"/>
  <c r="M30" i="174" s="1"/>
  <c r="M32" i="174" s="1"/>
  <c r="L25" i="174"/>
  <c r="L30" i="174" s="1"/>
  <c r="L32" i="174" s="1"/>
  <c r="K25" i="174"/>
  <c r="K30" i="174" s="1"/>
  <c r="K32" i="174" s="1"/>
  <c r="J25" i="174"/>
  <c r="J30" i="174" s="1"/>
  <c r="J32" i="174" s="1"/>
  <c r="I25" i="174"/>
  <c r="I30" i="174" s="1"/>
  <c r="I32" i="174" s="1"/>
  <c r="H25" i="174"/>
  <c r="H30" i="174" s="1"/>
  <c r="H32" i="174" s="1"/>
  <c r="G25" i="174"/>
  <c r="G30" i="174" s="1"/>
  <c r="G32" i="174" s="1"/>
  <c r="F25" i="174"/>
  <c r="F30" i="174" s="1"/>
  <c r="F32" i="174" s="1"/>
  <c r="E25" i="174"/>
  <c r="E30" i="174" s="1"/>
  <c r="E32" i="174" s="1"/>
  <c r="D25" i="174"/>
  <c r="D30" i="174" s="1"/>
  <c r="D32" i="174" s="1"/>
  <c r="C25" i="174"/>
  <c r="B25" i="174"/>
  <c r="B30" i="174" s="1"/>
  <c r="B32" i="174" s="1"/>
  <c r="W24" i="174"/>
  <c r="W23" i="174"/>
  <c r="W22" i="174"/>
  <c r="W21" i="174"/>
  <c r="W20" i="174"/>
  <c r="W19" i="174"/>
  <c r="W18" i="174"/>
  <c r="U11" i="174"/>
  <c r="P31" i="174" l="1"/>
  <c r="Q31" i="174"/>
  <c r="V49" i="175"/>
  <c r="X73" i="174"/>
  <c r="Y68" i="175"/>
  <c r="W28" i="175"/>
  <c r="H47" i="175"/>
  <c r="H49" i="175"/>
  <c r="L73" i="174"/>
  <c r="C31" i="174"/>
  <c r="P73" i="174"/>
  <c r="I73" i="174"/>
  <c r="U73" i="174"/>
  <c r="S73" i="174"/>
  <c r="N73" i="174"/>
  <c r="O73" i="174"/>
  <c r="W73" i="174"/>
  <c r="R52" i="174"/>
  <c r="Q52" i="174"/>
  <c r="T52" i="174"/>
  <c r="S52" i="174"/>
  <c r="D52" i="174"/>
  <c r="B52" i="174"/>
  <c r="C52" i="174"/>
  <c r="V73" i="174"/>
  <c r="I72" i="174"/>
  <c r="I74" i="174" s="1"/>
  <c r="U72" i="174"/>
  <c r="U74" i="174" s="1"/>
  <c r="J73" i="174"/>
  <c r="K73" i="174"/>
  <c r="Y67" i="174"/>
  <c r="Y70" i="174" s="1"/>
  <c r="O52" i="174"/>
  <c r="P52" i="174"/>
  <c r="E52" i="174"/>
  <c r="G52" i="174"/>
  <c r="H46" i="174"/>
  <c r="H47" i="174" s="1"/>
  <c r="F52" i="174"/>
  <c r="P30" i="174"/>
  <c r="P32" i="174" s="1"/>
  <c r="Q30" i="174"/>
  <c r="Q32" i="174" s="1"/>
  <c r="M31" i="174"/>
  <c r="D31" i="174"/>
  <c r="C30" i="174"/>
  <c r="C32" i="174" s="1"/>
  <c r="O31" i="174"/>
  <c r="E31" i="174"/>
  <c r="L31" i="174"/>
  <c r="N31" i="174"/>
  <c r="H31" i="174"/>
  <c r="T31" i="174"/>
  <c r="I31" i="174"/>
  <c r="U31" i="174"/>
  <c r="J31" i="174"/>
  <c r="V31" i="174"/>
  <c r="B31" i="174"/>
  <c r="K31" i="174"/>
  <c r="W25" i="174"/>
  <c r="W26" i="174" s="1"/>
  <c r="L72" i="174"/>
  <c r="L74" i="174" s="1"/>
  <c r="M73" i="174"/>
  <c r="B73" i="174"/>
  <c r="N72" i="174"/>
  <c r="N74" i="174" s="1"/>
  <c r="R31" i="174"/>
  <c r="O72" i="174"/>
  <c r="O74" i="174" s="1"/>
  <c r="D73" i="174"/>
  <c r="G31" i="174"/>
  <c r="S31" i="174"/>
  <c r="P72" i="174"/>
  <c r="P74" i="174" s="1"/>
  <c r="E73" i="174"/>
  <c r="Q73" i="174"/>
  <c r="R73" i="174"/>
  <c r="G73" i="174"/>
  <c r="S72" i="174"/>
  <c r="S74" i="174" s="1"/>
  <c r="H73" i="174"/>
  <c r="T73" i="174"/>
  <c r="X72" i="174"/>
  <c r="X74" i="174" s="1"/>
  <c r="C73" i="174"/>
  <c r="F31" i="174"/>
  <c r="V46" i="174"/>
  <c r="F73" i="174"/>
  <c r="W24" i="173"/>
  <c r="H49" i="174" l="1"/>
  <c r="Y68" i="174"/>
  <c r="W28" i="174"/>
  <c r="V47" i="174"/>
  <c r="V49" i="174"/>
  <c r="W20" i="173"/>
  <c r="W19" i="173"/>
  <c r="X71" i="173" l="1"/>
  <c r="W71" i="173"/>
  <c r="V71" i="173"/>
  <c r="U71" i="173"/>
  <c r="T71" i="173"/>
  <c r="S71" i="173"/>
  <c r="R71" i="173"/>
  <c r="Q71" i="173"/>
  <c r="P71" i="173"/>
  <c r="O71" i="173"/>
  <c r="N71" i="173"/>
  <c r="M71" i="173"/>
  <c r="L71" i="173"/>
  <c r="K71" i="173"/>
  <c r="J71" i="173"/>
  <c r="I71" i="173"/>
  <c r="H71" i="173"/>
  <c r="G71" i="173"/>
  <c r="F71" i="173"/>
  <c r="E71" i="173"/>
  <c r="D71" i="173"/>
  <c r="C71" i="173"/>
  <c r="B71" i="173"/>
  <c r="X70" i="173"/>
  <c r="W70" i="173"/>
  <c r="V70" i="173"/>
  <c r="U70" i="173"/>
  <c r="T70" i="173"/>
  <c r="S70" i="173"/>
  <c r="R70" i="173"/>
  <c r="Q70" i="173"/>
  <c r="P70" i="173"/>
  <c r="O70" i="173"/>
  <c r="N70" i="173"/>
  <c r="M70" i="173"/>
  <c r="L70" i="173"/>
  <c r="K70" i="173"/>
  <c r="J70" i="173"/>
  <c r="I70" i="173"/>
  <c r="H70" i="173"/>
  <c r="G70" i="173"/>
  <c r="F70" i="173"/>
  <c r="E70" i="173"/>
  <c r="D70" i="173"/>
  <c r="C70" i="173"/>
  <c r="B70" i="173"/>
  <c r="Y69" i="173"/>
  <c r="X67" i="173"/>
  <c r="X72" i="173" s="1"/>
  <c r="X74" i="173" s="1"/>
  <c r="W67" i="173"/>
  <c r="W72" i="173" s="1"/>
  <c r="W74" i="173" s="1"/>
  <c r="V67" i="173"/>
  <c r="V72" i="173" s="1"/>
  <c r="V74" i="173" s="1"/>
  <c r="U67" i="173"/>
  <c r="U72" i="173" s="1"/>
  <c r="U74" i="173" s="1"/>
  <c r="T67" i="173"/>
  <c r="T72" i="173" s="1"/>
  <c r="T74" i="173" s="1"/>
  <c r="S67" i="173"/>
  <c r="R67" i="173"/>
  <c r="R72" i="173" s="1"/>
  <c r="R74" i="173" s="1"/>
  <c r="Q67" i="173"/>
  <c r="Q72" i="173" s="1"/>
  <c r="Q74" i="173" s="1"/>
  <c r="P67" i="173"/>
  <c r="P72" i="173" s="1"/>
  <c r="P74" i="173" s="1"/>
  <c r="O67" i="173"/>
  <c r="O72" i="173" s="1"/>
  <c r="O74" i="173" s="1"/>
  <c r="N67" i="173"/>
  <c r="M67" i="173"/>
  <c r="M72" i="173" s="1"/>
  <c r="M74" i="173" s="1"/>
  <c r="L67" i="173"/>
  <c r="K67" i="173"/>
  <c r="K72" i="173" s="1"/>
  <c r="K74" i="173" s="1"/>
  <c r="J67" i="173"/>
  <c r="J72" i="173" s="1"/>
  <c r="J74" i="173" s="1"/>
  <c r="I67" i="173"/>
  <c r="I72" i="173" s="1"/>
  <c r="I74" i="173" s="1"/>
  <c r="H67" i="173"/>
  <c r="H72" i="173" s="1"/>
  <c r="H74" i="173" s="1"/>
  <c r="G67" i="173"/>
  <c r="G72" i="173" s="1"/>
  <c r="G74" i="173" s="1"/>
  <c r="F67" i="173"/>
  <c r="E67" i="173"/>
  <c r="E72" i="173" s="1"/>
  <c r="E74" i="173" s="1"/>
  <c r="D67" i="173"/>
  <c r="C67" i="173"/>
  <c r="C72" i="173" s="1"/>
  <c r="C74" i="173" s="1"/>
  <c r="B67" i="173"/>
  <c r="B72" i="173" s="1"/>
  <c r="B74" i="173" s="1"/>
  <c r="AA66" i="173"/>
  <c r="Y66" i="173"/>
  <c r="Z66" i="173" s="1"/>
  <c r="AA65" i="173"/>
  <c r="Y65" i="173"/>
  <c r="Z65" i="173" s="1"/>
  <c r="AA64" i="173"/>
  <c r="Y64" i="173"/>
  <c r="Z64" i="173" s="1"/>
  <c r="AA63" i="173"/>
  <c r="Y63" i="173"/>
  <c r="Z63" i="173" s="1"/>
  <c r="AA62" i="173"/>
  <c r="Y62" i="173"/>
  <c r="AA61" i="173"/>
  <c r="Y61" i="173"/>
  <c r="Z61" i="173" s="1"/>
  <c r="AA60" i="173"/>
  <c r="Y60" i="173"/>
  <c r="Z60" i="173" s="1"/>
  <c r="U50" i="173"/>
  <c r="T50" i="173"/>
  <c r="S50" i="173"/>
  <c r="R50" i="173"/>
  <c r="Q50" i="173"/>
  <c r="P50" i="173"/>
  <c r="O50" i="173"/>
  <c r="G50" i="173"/>
  <c r="F50" i="173"/>
  <c r="E50" i="173"/>
  <c r="D50" i="173"/>
  <c r="C50" i="173"/>
  <c r="B50" i="173"/>
  <c r="U49" i="173"/>
  <c r="T49" i="173"/>
  <c r="S49" i="173"/>
  <c r="R49" i="173"/>
  <c r="Q49" i="173"/>
  <c r="P49" i="173"/>
  <c r="O49" i="173"/>
  <c r="G49" i="173"/>
  <c r="F49" i="173"/>
  <c r="E49" i="173"/>
  <c r="D49" i="173"/>
  <c r="C49" i="173"/>
  <c r="B49" i="173"/>
  <c r="V48" i="173"/>
  <c r="H48" i="173"/>
  <c r="U46" i="173"/>
  <c r="U51" i="173" s="1"/>
  <c r="U53" i="173" s="1"/>
  <c r="T46" i="173"/>
  <c r="T51" i="173" s="1"/>
  <c r="T53" i="173" s="1"/>
  <c r="S46" i="173"/>
  <c r="S51" i="173" s="1"/>
  <c r="S53" i="173" s="1"/>
  <c r="R46" i="173"/>
  <c r="Q46" i="173"/>
  <c r="Q51" i="173" s="1"/>
  <c r="Q53" i="173" s="1"/>
  <c r="P46" i="173"/>
  <c r="O46" i="173"/>
  <c r="O51" i="173" s="1"/>
  <c r="O53" i="173" s="1"/>
  <c r="G46" i="173"/>
  <c r="G51" i="173" s="1"/>
  <c r="G53" i="173" s="1"/>
  <c r="F46" i="173"/>
  <c r="F51" i="173" s="1"/>
  <c r="F53" i="173" s="1"/>
  <c r="E46" i="173"/>
  <c r="E51" i="173" s="1"/>
  <c r="E53" i="173" s="1"/>
  <c r="D46" i="173"/>
  <c r="D51" i="173" s="1"/>
  <c r="D53" i="173" s="1"/>
  <c r="C46" i="173"/>
  <c r="C51" i="173" s="1"/>
  <c r="C53" i="173" s="1"/>
  <c r="B46" i="173"/>
  <c r="V45" i="173"/>
  <c r="W45" i="173" s="1"/>
  <c r="H45" i="173"/>
  <c r="V44" i="173"/>
  <c r="W44" i="173" s="1"/>
  <c r="H44" i="173"/>
  <c r="V43" i="173"/>
  <c r="W43" i="173" s="1"/>
  <c r="H43" i="173"/>
  <c r="V42" i="173"/>
  <c r="W42" i="173" s="1"/>
  <c r="H42" i="173"/>
  <c r="V41" i="173"/>
  <c r="W41" i="173" s="1"/>
  <c r="H41" i="173"/>
  <c r="V40" i="173"/>
  <c r="W40" i="173" s="1"/>
  <c r="H40" i="173"/>
  <c r="V39" i="173"/>
  <c r="W39" i="173" s="1"/>
  <c r="H39" i="173"/>
  <c r="V29" i="173"/>
  <c r="U29" i="173"/>
  <c r="T29" i="173"/>
  <c r="S29" i="173"/>
  <c r="R29" i="173"/>
  <c r="Q29" i="173"/>
  <c r="P29" i="173"/>
  <c r="O29" i="173"/>
  <c r="N29" i="173"/>
  <c r="M29" i="173"/>
  <c r="L29" i="173"/>
  <c r="K29" i="173"/>
  <c r="J29" i="173"/>
  <c r="I29" i="173"/>
  <c r="H29" i="173"/>
  <c r="G29" i="173"/>
  <c r="F29" i="173"/>
  <c r="E29" i="173"/>
  <c r="D29" i="173"/>
  <c r="C29" i="173"/>
  <c r="B29" i="173"/>
  <c r="V28" i="173"/>
  <c r="U28" i="173"/>
  <c r="T28" i="173"/>
  <c r="S28" i="173"/>
  <c r="R28" i="173"/>
  <c r="Q28" i="173"/>
  <c r="P28" i="173"/>
  <c r="O28" i="173"/>
  <c r="N28" i="173"/>
  <c r="M28" i="173"/>
  <c r="L28" i="173"/>
  <c r="K28" i="173"/>
  <c r="J28" i="173"/>
  <c r="I28" i="173"/>
  <c r="H28" i="173"/>
  <c r="G28" i="173"/>
  <c r="F28" i="173"/>
  <c r="E28" i="173"/>
  <c r="D28" i="173"/>
  <c r="C28" i="173"/>
  <c r="B28" i="173"/>
  <c r="W27" i="173"/>
  <c r="V25" i="173"/>
  <c r="V30" i="173" s="1"/>
  <c r="V32" i="173" s="1"/>
  <c r="U25" i="173"/>
  <c r="U30" i="173" s="1"/>
  <c r="U32" i="173" s="1"/>
  <c r="T25" i="173"/>
  <c r="T30" i="173" s="1"/>
  <c r="T32" i="173" s="1"/>
  <c r="S25" i="173"/>
  <c r="S30" i="173" s="1"/>
  <c r="S32" i="173" s="1"/>
  <c r="R25" i="173"/>
  <c r="R30" i="173" s="1"/>
  <c r="R32" i="173" s="1"/>
  <c r="Q25" i="173"/>
  <c r="Q30" i="173" s="1"/>
  <c r="Q32" i="173" s="1"/>
  <c r="P25" i="173"/>
  <c r="P31" i="173" s="1"/>
  <c r="O25" i="173"/>
  <c r="N25" i="173"/>
  <c r="M25" i="173"/>
  <c r="M30" i="173" s="1"/>
  <c r="M32" i="173" s="1"/>
  <c r="L25" i="173"/>
  <c r="L30" i="173" s="1"/>
  <c r="L32" i="173" s="1"/>
  <c r="K25" i="173"/>
  <c r="K30" i="173" s="1"/>
  <c r="K32" i="173" s="1"/>
  <c r="J25" i="173"/>
  <c r="J30" i="173" s="1"/>
  <c r="J32" i="173" s="1"/>
  <c r="I25" i="173"/>
  <c r="I30" i="173" s="1"/>
  <c r="I32" i="173" s="1"/>
  <c r="H25" i="173"/>
  <c r="H30" i="173" s="1"/>
  <c r="H32" i="173" s="1"/>
  <c r="G25" i="173"/>
  <c r="G30" i="173" s="1"/>
  <c r="G32" i="173" s="1"/>
  <c r="F25" i="173"/>
  <c r="E25" i="173"/>
  <c r="D25" i="173"/>
  <c r="C25" i="173"/>
  <c r="C30" i="173" s="1"/>
  <c r="C32" i="173" s="1"/>
  <c r="B25" i="173"/>
  <c r="B30" i="173" s="1"/>
  <c r="B32" i="173" s="1"/>
  <c r="W23" i="173"/>
  <c r="W22" i="173"/>
  <c r="W21" i="173"/>
  <c r="W18" i="173"/>
  <c r="U11" i="173"/>
  <c r="L73" i="173" l="1"/>
  <c r="E31" i="173"/>
  <c r="T31" i="173"/>
  <c r="U31" i="173"/>
  <c r="V31" i="173"/>
  <c r="H31" i="173"/>
  <c r="I31" i="173"/>
  <c r="J31" i="173"/>
  <c r="O31" i="173"/>
  <c r="F31" i="173"/>
  <c r="R52" i="173"/>
  <c r="D31" i="173"/>
  <c r="N73" i="173"/>
  <c r="S73" i="173"/>
  <c r="D73" i="173"/>
  <c r="F73" i="173"/>
  <c r="I73" i="173"/>
  <c r="U73" i="173"/>
  <c r="J73" i="173"/>
  <c r="V73" i="173"/>
  <c r="N31" i="173"/>
  <c r="G52" i="173"/>
  <c r="H46" i="173"/>
  <c r="H47" i="173" s="1"/>
  <c r="G31" i="173"/>
  <c r="S31" i="173"/>
  <c r="E52" i="173"/>
  <c r="F52" i="173"/>
  <c r="N30" i="173"/>
  <c r="N32" i="173" s="1"/>
  <c r="O30" i="173"/>
  <c r="O32" i="173" s="1"/>
  <c r="K31" i="173"/>
  <c r="L31" i="173"/>
  <c r="P30" i="173"/>
  <c r="P32" i="173" s="1"/>
  <c r="Y67" i="173"/>
  <c r="Y68" i="173" s="1"/>
  <c r="V46" i="173"/>
  <c r="V47" i="173" s="1"/>
  <c r="R51" i="173"/>
  <c r="R53" i="173" s="1"/>
  <c r="P52" i="173"/>
  <c r="O52" i="173"/>
  <c r="Q52" i="173"/>
  <c r="S52" i="173"/>
  <c r="T52" i="173"/>
  <c r="U52" i="173"/>
  <c r="B52" i="173"/>
  <c r="C52" i="173"/>
  <c r="B51" i="173"/>
  <c r="B53" i="173" s="1"/>
  <c r="D52" i="173"/>
  <c r="B31" i="173"/>
  <c r="C31" i="173"/>
  <c r="D30" i="173"/>
  <c r="D32" i="173" s="1"/>
  <c r="W25" i="173"/>
  <c r="W26" i="173" s="1"/>
  <c r="M31" i="173"/>
  <c r="K73" i="173"/>
  <c r="M73" i="173"/>
  <c r="B73" i="173"/>
  <c r="Q31" i="173"/>
  <c r="N72" i="173"/>
  <c r="N74" i="173" s="1"/>
  <c r="R31" i="173"/>
  <c r="P73" i="173"/>
  <c r="F30" i="173"/>
  <c r="F32" i="173" s="1"/>
  <c r="F72" i="173"/>
  <c r="F74" i="173" s="1"/>
  <c r="G73" i="173"/>
  <c r="S72" i="173"/>
  <c r="S74" i="173" s="1"/>
  <c r="H73" i="173"/>
  <c r="T73" i="173"/>
  <c r="W73" i="173"/>
  <c r="X73" i="173"/>
  <c r="L72" i="173"/>
  <c r="L74" i="173" s="1"/>
  <c r="C73" i="173"/>
  <c r="O73" i="173"/>
  <c r="D72" i="173"/>
  <c r="D74" i="173" s="1"/>
  <c r="E73" i="173"/>
  <c r="E30" i="173"/>
  <c r="E32" i="173" s="1"/>
  <c r="R73" i="173"/>
  <c r="P51" i="173"/>
  <c r="P53" i="173" s="1"/>
  <c r="Z62" i="173"/>
  <c r="Q73" i="173"/>
  <c r="AA61" i="172"/>
  <c r="AA62" i="172"/>
  <c r="AA63" i="172"/>
  <c r="AA64" i="172"/>
  <c r="AA65" i="172"/>
  <c r="AA66" i="172"/>
  <c r="AA60" i="172"/>
  <c r="H49" i="173" l="1"/>
  <c r="W28" i="173"/>
  <c r="V49" i="173"/>
  <c r="Y70" i="173"/>
  <c r="X70" i="172"/>
  <c r="W70" i="172"/>
  <c r="V70" i="172"/>
  <c r="U70" i="172"/>
  <c r="T70" i="172"/>
  <c r="S70" i="172"/>
  <c r="R70" i="172"/>
  <c r="Q70" i="172"/>
  <c r="P70" i="172"/>
  <c r="O70" i="172"/>
  <c r="N70" i="172"/>
  <c r="M70" i="172"/>
  <c r="L70" i="172"/>
  <c r="K70" i="172"/>
  <c r="J70" i="172"/>
  <c r="I70" i="172"/>
  <c r="H70" i="172"/>
  <c r="G70" i="172"/>
  <c r="F70" i="172"/>
  <c r="E70" i="172"/>
  <c r="D70" i="172"/>
  <c r="C70" i="172"/>
  <c r="B70" i="172"/>
  <c r="U49" i="172"/>
  <c r="T49" i="172"/>
  <c r="S49" i="172"/>
  <c r="R49" i="172"/>
  <c r="Q49" i="172"/>
  <c r="P49" i="172"/>
  <c r="O49" i="172"/>
  <c r="V28" i="172"/>
  <c r="U28" i="172"/>
  <c r="T28" i="172"/>
  <c r="S28" i="172"/>
  <c r="R28" i="172"/>
  <c r="Q28" i="172"/>
  <c r="P28" i="172"/>
  <c r="O28" i="172"/>
  <c r="N28" i="172"/>
  <c r="M28" i="172"/>
  <c r="L28" i="172"/>
  <c r="K28" i="172"/>
  <c r="J28" i="172"/>
  <c r="I28" i="172"/>
  <c r="H28" i="172"/>
  <c r="G28" i="172"/>
  <c r="F28" i="172"/>
  <c r="E28" i="172"/>
  <c r="D28" i="172"/>
  <c r="C28" i="172"/>
  <c r="B28" i="172"/>
  <c r="G49" i="172"/>
  <c r="F49" i="172"/>
  <c r="E49" i="172"/>
  <c r="D49" i="172"/>
  <c r="C49" i="172"/>
  <c r="B49" i="172"/>
  <c r="X71" i="172" l="1"/>
  <c r="W71" i="172"/>
  <c r="V71" i="172"/>
  <c r="U71" i="172"/>
  <c r="T71" i="172"/>
  <c r="S71" i="172"/>
  <c r="R71" i="172"/>
  <c r="Q71" i="172"/>
  <c r="P71" i="172"/>
  <c r="O71" i="172"/>
  <c r="N71" i="172"/>
  <c r="M71" i="172"/>
  <c r="L71" i="172"/>
  <c r="K71" i="172"/>
  <c r="J71" i="172"/>
  <c r="I71" i="172"/>
  <c r="H71" i="172"/>
  <c r="G71" i="172"/>
  <c r="F71" i="172"/>
  <c r="E71" i="172"/>
  <c r="D71" i="172"/>
  <c r="C71" i="172"/>
  <c r="B71" i="172"/>
  <c r="Y69" i="172"/>
  <c r="X67" i="172"/>
  <c r="W67" i="172"/>
  <c r="V67" i="172"/>
  <c r="U67" i="172"/>
  <c r="T67" i="172"/>
  <c r="S67" i="172"/>
  <c r="R67" i="172"/>
  <c r="Q67" i="172"/>
  <c r="P67" i="172"/>
  <c r="O67" i="172"/>
  <c r="N67" i="172"/>
  <c r="M67" i="172"/>
  <c r="L67" i="172"/>
  <c r="K67" i="172"/>
  <c r="J67" i="172"/>
  <c r="I67" i="172"/>
  <c r="H67" i="172"/>
  <c r="G67" i="172"/>
  <c r="F67" i="172"/>
  <c r="E67" i="172"/>
  <c r="D67" i="172"/>
  <c r="C67" i="172"/>
  <c r="B67" i="172"/>
  <c r="Y66" i="172"/>
  <c r="Z66" i="172" s="1"/>
  <c r="Y65" i="172"/>
  <c r="Z65" i="172" s="1"/>
  <c r="Y64" i="172"/>
  <c r="Z64" i="172" s="1"/>
  <c r="Y63" i="172"/>
  <c r="Z63" i="172" s="1"/>
  <c r="Y62" i="172"/>
  <c r="Z62" i="172" s="1"/>
  <c r="Y61" i="172"/>
  <c r="Z61" i="172" s="1"/>
  <c r="Y60" i="172"/>
  <c r="Z60" i="172" s="1"/>
  <c r="U50" i="172"/>
  <c r="T50" i="172"/>
  <c r="S50" i="172"/>
  <c r="R50" i="172"/>
  <c r="Q50" i="172"/>
  <c r="P50" i="172"/>
  <c r="O50" i="172"/>
  <c r="G50" i="172"/>
  <c r="F50" i="172"/>
  <c r="E50" i="172"/>
  <c r="D50" i="172"/>
  <c r="C50" i="172"/>
  <c r="B50" i="172"/>
  <c r="V48" i="172"/>
  <c r="H48" i="172"/>
  <c r="U46" i="172"/>
  <c r="T46" i="172"/>
  <c r="S46" i="172"/>
  <c r="R46" i="172"/>
  <c r="Q46" i="172"/>
  <c r="P46" i="172"/>
  <c r="O46" i="172"/>
  <c r="G46" i="172"/>
  <c r="F46" i="172"/>
  <c r="E46" i="172"/>
  <c r="D46" i="172"/>
  <c r="C46" i="172"/>
  <c r="B46" i="172"/>
  <c r="V45" i="172"/>
  <c r="W45" i="172" s="1"/>
  <c r="H45" i="172"/>
  <c r="V44" i="172"/>
  <c r="W44" i="172" s="1"/>
  <c r="H44" i="172"/>
  <c r="V43" i="172"/>
  <c r="W43" i="172" s="1"/>
  <c r="H43" i="172"/>
  <c r="V42" i="172"/>
  <c r="W42" i="172" s="1"/>
  <c r="H42" i="172"/>
  <c r="V41" i="172"/>
  <c r="W41" i="172" s="1"/>
  <c r="H41" i="172"/>
  <c r="V40" i="172"/>
  <c r="W40" i="172" s="1"/>
  <c r="H40" i="172"/>
  <c r="V39" i="172"/>
  <c r="W39" i="172" s="1"/>
  <c r="H39" i="172"/>
  <c r="V29" i="172"/>
  <c r="U29" i="172"/>
  <c r="T29" i="172"/>
  <c r="S29" i="172"/>
  <c r="R29" i="172"/>
  <c r="Q29" i="172"/>
  <c r="P29" i="172"/>
  <c r="O29" i="172"/>
  <c r="N29" i="172"/>
  <c r="M29" i="172"/>
  <c r="L29" i="172"/>
  <c r="K29" i="172"/>
  <c r="J29" i="172"/>
  <c r="I29" i="172"/>
  <c r="H29" i="172"/>
  <c r="G29" i="172"/>
  <c r="F29" i="172"/>
  <c r="E29" i="172"/>
  <c r="D29" i="172"/>
  <c r="C29" i="172"/>
  <c r="B29" i="172"/>
  <c r="W27" i="172"/>
  <c r="V25" i="172"/>
  <c r="U25" i="172"/>
  <c r="T25" i="172"/>
  <c r="S25" i="172"/>
  <c r="R25" i="172"/>
  <c r="Q25" i="172"/>
  <c r="P25" i="172"/>
  <c r="O25" i="172"/>
  <c r="N25" i="172"/>
  <c r="M25" i="172"/>
  <c r="L25" i="172"/>
  <c r="K25" i="172"/>
  <c r="J25" i="172"/>
  <c r="I25" i="172"/>
  <c r="H25" i="172"/>
  <c r="G25" i="172"/>
  <c r="F25" i="172"/>
  <c r="E25" i="172"/>
  <c r="D25" i="172"/>
  <c r="C25" i="172"/>
  <c r="B25" i="172"/>
  <c r="W24" i="172"/>
  <c r="W23" i="172"/>
  <c r="W22" i="172"/>
  <c r="W21" i="172"/>
  <c r="W20" i="172"/>
  <c r="W19" i="172"/>
  <c r="W18" i="172"/>
  <c r="U11" i="172"/>
  <c r="D52" i="172" l="1"/>
  <c r="R73" i="172"/>
  <c r="O52" i="172"/>
  <c r="J73" i="172"/>
  <c r="U52" i="172"/>
  <c r="S31" i="172"/>
  <c r="K31" i="172"/>
  <c r="X72" i="172"/>
  <c r="X74" i="172" s="1"/>
  <c r="X73" i="172"/>
  <c r="W72" i="172"/>
  <c r="W74" i="172" s="1"/>
  <c r="W73" i="172"/>
  <c r="V72" i="172"/>
  <c r="V74" i="172" s="1"/>
  <c r="V73" i="172"/>
  <c r="U72" i="172"/>
  <c r="U74" i="172" s="1"/>
  <c r="U73" i="172"/>
  <c r="T72" i="172"/>
  <c r="T74" i="172" s="1"/>
  <c r="T73" i="172"/>
  <c r="S72" i="172"/>
  <c r="S74" i="172" s="1"/>
  <c r="S73" i="172"/>
  <c r="Q72" i="172"/>
  <c r="Q74" i="172" s="1"/>
  <c r="Q73" i="172"/>
  <c r="P72" i="172"/>
  <c r="P74" i="172" s="1"/>
  <c r="P73" i="172"/>
  <c r="O72" i="172"/>
  <c r="O74" i="172" s="1"/>
  <c r="O73" i="172"/>
  <c r="N72" i="172"/>
  <c r="N74" i="172" s="1"/>
  <c r="N73" i="172"/>
  <c r="M72" i="172"/>
  <c r="M74" i="172" s="1"/>
  <c r="M73" i="172"/>
  <c r="L72" i="172"/>
  <c r="L74" i="172" s="1"/>
  <c r="L73" i="172"/>
  <c r="K72" i="172"/>
  <c r="K74" i="172" s="1"/>
  <c r="K73" i="172"/>
  <c r="I72" i="172"/>
  <c r="I74" i="172" s="1"/>
  <c r="I73" i="172"/>
  <c r="H72" i="172"/>
  <c r="H74" i="172" s="1"/>
  <c r="H73" i="172"/>
  <c r="G72" i="172"/>
  <c r="G74" i="172" s="1"/>
  <c r="G73" i="172"/>
  <c r="F72" i="172"/>
  <c r="F74" i="172" s="1"/>
  <c r="F73" i="172"/>
  <c r="E72" i="172"/>
  <c r="E74" i="172" s="1"/>
  <c r="E73" i="172"/>
  <c r="D72" i="172"/>
  <c r="D74" i="172" s="1"/>
  <c r="D73" i="172"/>
  <c r="C72" i="172"/>
  <c r="C74" i="172" s="1"/>
  <c r="C73" i="172"/>
  <c r="Y67" i="172"/>
  <c r="Y68" i="172" s="1"/>
  <c r="B72" i="172"/>
  <c r="B74" i="172" s="1"/>
  <c r="B73" i="172"/>
  <c r="U51" i="172"/>
  <c r="U53" i="172" s="1"/>
  <c r="T51" i="172"/>
  <c r="T53" i="172" s="1"/>
  <c r="T52" i="172"/>
  <c r="S51" i="172"/>
  <c r="S53" i="172" s="1"/>
  <c r="S52" i="172"/>
  <c r="R51" i="172"/>
  <c r="R53" i="172" s="1"/>
  <c r="R52" i="172"/>
  <c r="Q51" i="172"/>
  <c r="Q53" i="172" s="1"/>
  <c r="Q52" i="172"/>
  <c r="P51" i="172"/>
  <c r="P53" i="172" s="1"/>
  <c r="P52" i="172"/>
  <c r="O51" i="172"/>
  <c r="O53" i="172" s="1"/>
  <c r="G51" i="172"/>
  <c r="G53" i="172" s="1"/>
  <c r="G52" i="172"/>
  <c r="F51" i="172"/>
  <c r="F53" i="172" s="1"/>
  <c r="F52" i="172"/>
  <c r="E51" i="172"/>
  <c r="E53" i="172" s="1"/>
  <c r="E52" i="172"/>
  <c r="D51" i="172"/>
  <c r="D53" i="172" s="1"/>
  <c r="C51" i="172"/>
  <c r="C53" i="172" s="1"/>
  <c r="C52" i="172"/>
  <c r="B51" i="172"/>
  <c r="B53" i="172" s="1"/>
  <c r="B52" i="172"/>
  <c r="V30" i="172"/>
  <c r="V32" i="172" s="1"/>
  <c r="V31" i="172"/>
  <c r="U30" i="172"/>
  <c r="U32" i="172" s="1"/>
  <c r="U31" i="172"/>
  <c r="T30" i="172"/>
  <c r="T32" i="172" s="1"/>
  <c r="T31" i="172"/>
  <c r="R30" i="172"/>
  <c r="R32" i="172" s="1"/>
  <c r="R31" i="172"/>
  <c r="Q30" i="172"/>
  <c r="Q32" i="172" s="1"/>
  <c r="Q31" i="172"/>
  <c r="P30" i="172"/>
  <c r="P32" i="172" s="1"/>
  <c r="P31" i="172"/>
  <c r="O30" i="172"/>
  <c r="O32" i="172" s="1"/>
  <c r="O31" i="172"/>
  <c r="N30" i="172"/>
  <c r="N32" i="172" s="1"/>
  <c r="N31" i="172"/>
  <c r="M30" i="172"/>
  <c r="M32" i="172" s="1"/>
  <c r="M31" i="172"/>
  <c r="L30" i="172"/>
  <c r="L32" i="172" s="1"/>
  <c r="L31" i="172"/>
  <c r="J30" i="172"/>
  <c r="J32" i="172" s="1"/>
  <c r="J31" i="172"/>
  <c r="I30" i="172"/>
  <c r="I32" i="172" s="1"/>
  <c r="I31" i="172"/>
  <c r="H30" i="172"/>
  <c r="H32" i="172" s="1"/>
  <c r="H31" i="172"/>
  <c r="G30" i="172"/>
  <c r="G32" i="172" s="1"/>
  <c r="G31" i="172"/>
  <c r="F30" i="172"/>
  <c r="F32" i="172" s="1"/>
  <c r="F31" i="172"/>
  <c r="W25" i="172"/>
  <c r="W26" i="172" s="1"/>
  <c r="E30" i="172"/>
  <c r="E32" i="172" s="1"/>
  <c r="E31" i="172"/>
  <c r="D30" i="172"/>
  <c r="D32" i="172" s="1"/>
  <c r="D31" i="172"/>
  <c r="C30" i="172"/>
  <c r="C32" i="172" s="1"/>
  <c r="C31" i="172"/>
  <c r="B30" i="172"/>
  <c r="B32" i="172" s="1"/>
  <c r="B31" i="172"/>
  <c r="V46" i="172"/>
  <c r="V47" i="172" s="1"/>
  <c r="K30" i="172"/>
  <c r="K32" i="172" s="1"/>
  <c r="S30" i="172"/>
  <c r="S32" i="172" s="1"/>
  <c r="H46" i="172"/>
  <c r="J72" i="172"/>
  <c r="J74" i="172" s="1"/>
  <c r="R72" i="172"/>
  <c r="R74" i="172" s="1"/>
  <c r="P71" i="171"/>
  <c r="P70" i="171"/>
  <c r="P67" i="171"/>
  <c r="P72" i="171" s="1"/>
  <c r="P74" i="171" s="1"/>
  <c r="Y70" i="172" l="1"/>
  <c r="V49" i="172"/>
  <c r="W28" i="172"/>
  <c r="H49" i="172"/>
  <c r="H47" i="172"/>
  <c r="P73" i="171"/>
  <c r="U46" i="171"/>
  <c r="U51" i="171" s="1"/>
  <c r="U53" i="171" s="1"/>
  <c r="U49" i="171"/>
  <c r="U50" i="171"/>
  <c r="X71" i="171"/>
  <c r="W71" i="171"/>
  <c r="V71" i="171"/>
  <c r="U71" i="171"/>
  <c r="T71" i="171"/>
  <c r="S71" i="171"/>
  <c r="R71" i="171"/>
  <c r="Q71" i="171"/>
  <c r="O71" i="171"/>
  <c r="N71" i="171"/>
  <c r="M71" i="171"/>
  <c r="L71" i="171"/>
  <c r="K71" i="171"/>
  <c r="J71" i="171"/>
  <c r="I71" i="171"/>
  <c r="H71" i="171"/>
  <c r="G71" i="171"/>
  <c r="F71" i="171"/>
  <c r="E71" i="171"/>
  <c r="D71" i="171"/>
  <c r="C71" i="171"/>
  <c r="B71" i="171"/>
  <c r="X70" i="171"/>
  <c r="W70" i="171"/>
  <c r="V70" i="171"/>
  <c r="U70" i="171"/>
  <c r="T70" i="171"/>
  <c r="S70" i="171"/>
  <c r="R70" i="171"/>
  <c r="Q70" i="171"/>
  <c r="O70" i="171"/>
  <c r="N70" i="171"/>
  <c r="M70" i="171"/>
  <c r="L70" i="171"/>
  <c r="K70" i="171"/>
  <c r="J70" i="171"/>
  <c r="I70" i="171"/>
  <c r="H70" i="171"/>
  <c r="G70" i="171"/>
  <c r="F70" i="171"/>
  <c r="E70" i="171"/>
  <c r="D70" i="171"/>
  <c r="C70" i="171"/>
  <c r="B70" i="171"/>
  <c r="Y69" i="171"/>
  <c r="X67" i="171"/>
  <c r="X72" i="171" s="1"/>
  <c r="X74" i="171" s="1"/>
  <c r="W67" i="171"/>
  <c r="V67" i="171"/>
  <c r="V72" i="171" s="1"/>
  <c r="V74" i="171" s="1"/>
  <c r="U67" i="171"/>
  <c r="U72" i="171" s="1"/>
  <c r="U74" i="171" s="1"/>
  <c r="T67" i="171"/>
  <c r="T72" i="171" s="1"/>
  <c r="T74" i="171" s="1"/>
  <c r="S67" i="171"/>
  <c r="S72" i="171" s="1"/>
  <c r="S74" i="171" s="1"/>
  <c r="R67" i="171"/>
  <c r="R72" i="171" s="1"/>
  <c r="R74" i="171" s="1"/>
  <c r="Q67" i="171"/>
  <c r="Q72" i="171" s="1"/>
  <c r="Q74" i="171" s="1"/>
  <c r="O67" i="171"/>
  <c r="O72" i="171" s="1"/>
  <c r="O74" i="171" s="1"/>
  <c r="N67" i="171"/>
  <c r="N72" i="171" s="1"/>
  <c r="N74" i="171" s="1"/>
  <c r="M67" i="171"/>
  <c r="M72" i="171" s="1"/>
  <c r="M74" i="171" s="1"/>
  <c r="L67" i="171"/>
  <c r="L72" i="171" s="1"/>
  <c r="L74" i="171" s="1"/>
  <c r="K67" i="171"/>
  <c r="K72" i="171" s="1"/>
  <c r="K74" i="171" s="1"/>
  <c r="J67" i="171"/>
  <c r="J72" i="171" s="1"/>
  <c r="J74" i="171" s="1"/>
  <c r="I67" i="171"/>
  <c r="I72" i="171" s="1"/>
  <c r="I74" i="171" s="1"/>
  <c r="H67" i="171"/>
  <c r="H72" i="171" s="1"/>
  <c r="H74" i="171" s="1"/>
  <c r="G67" i="171"/>
  <c r="G72" i="171" s="1"/>
  <c r="G74" i="171" s="1"/>
  <c r="F67" i="171"/>
  <c r="F72" i="171" s="1"/>
  <c r="F74" i="171" s="1"/>
  <c r="E67" i="171"/>
  <c r="E72" i="171" s="1"/>
  <c r="E74" i="171" s="1"/>
  <c r="D67" i="171"/>
  <c r="D72" i="171" s="1"/>
  <c r="D74" i="171" s="1"/>
  <c r="C67" i="171"/>
  <c r="C72" i="171" s="1"/>
  <c r="C74" i="171" s="1"/>
  <c r="B67" i="171"/>
  <c r="B72" i="171" s="1"/>
  <c r="B74" i="171" s="1"/>
  <c r="Y66" i="171"/>
  <c r="Y65" i="171"/>
  <c r="Y64" i="171"/>
  <c r="Y63" i="171"/>
  <c r="Y62" i="171"/>
  <c r="Y61" i="171"/>
  <c r="Y60" i="171"/>
  <c r="T50" i="171"/>
  <c r="S50" i="171"/>
  <c r="R50" i="171"/>
  <c r="Q50" i="171"/>
  <c r="P50" i="171"/>
  <c r="O50" i="171"/>
  <c r="G50" i="171"/>
  <c r="F50" i="171"/>
  <c r="E50" i="171"/>
  <c r="D50" i="171"/>
  <c r="C50" i="171"/>
  <c r="B50" i="171"/>
  <c r="T49" i="171"/>
  <c r="S49" i="171"/>
  <c r="R49" i="171"/>
  <c r="Q49" i="171"/>
  <c r="P49" i="171"/>
  <c r="O49" i="171"/>
  <c r="G49" i="171"/>
  <c r="F49" i="171"/>
  <c r="E49" i="171"/>
  <c r="D49" i="171"/>
  <c r="C49" i="171"/>
  <c r="B49" i="171"/>
  <c r="V48" i="171"/>
  <c r="H48" i="171"/>
  <c r="T46" i="171"/>
  <c r="T51" i="171" s="1"/>
  <c r="T53" i="171" s="1"/>
  <c r="S46" i="171"/>
  <c r="S51" i="171" s="1"/>
  <c r="S53" i="171" s="1"/>
  <c r="R46" i="171"/>
  <c r="R51" i="171" s="1"/>
  <c r="R53" i="171" s="1"/>
  <c r="Q46" i="171"/>
  <c r="Q51" i="171" s="1"/>
  <c r="Q53" i="171" s="1"/>
  <c r="P46" i="171"/>
  <c r="P51" i="171" s="1"/>
  <c r="P53" i="171" s="1"/>
  <c r="O46" i="171"/>
  <c r="O51" i="171" s="1"/>
  <c r="O53" i="171" s="1"/>
  <c r="G46" i="171"/>
  <c r="G51" i="171" s="1"/>
  <c r="G53" i="171" s="1"/>
  <c r="F46" i="171"/>
  <c r="F51" i="171" s="1"/>
  <c r="F53" i="171" s="1"/>
  <c r="E46" i="171"/>
  <c r="E51" i="171" s="1"/>
  <c r="E53" i="171" s="1"/>
  <c r="D46" i="171"/>
  <c r="D51" i="171" s="1"/>
  <c r="D53" i="171" s="1"/>
  <c r="C46" i="171"/>
  <c r="C51" i="171" s="1"/>
  <c r="C53" i="171" s="1"/>
  <c r="B46" i="171"/>
  <c r="B51" i="171" s="1"/>
  <c r="B53" i="171" s="1"/>
  <c r="V45" i="171"/>
  <c r="H45" i="171"/>
  <c r="V44" i="171"/>
  <c r="H44" i="171"/>
  <c r="V43" i="171"/>
  <c r="H43" i="171"/>
  <c r="V42" i="171"/>
  <c r="H42" i="171"/>
  <c r="V41" i="171"/>
  <c r="H41" i="171"/>
  <c r="V40" i="171"/>
  <c r="H40" i="171"/>
  <c r="V39" i="171"/>
  <c r="H39" i="171"/>
  <c r="V29" i="171"/>
  <c r="U29" i="171"/>
  <c r="T29" i="171"/>
  <c r="S29" i="171"/>
  <c r="R29" i="171"/>
  <c r="Q29" i="171"/>
  <c r="P29" i="171"/>
  <c r="O29" i="171"/>
  <c r="N29" i="171"/>
  <c r="M29" i="171"/>
  <c r="L29" i="171"/>
  <c r="K29" i="171"/>
  <c r="J29" i="171"/>
  <c r="I29" i="171"/>
  <c r="H29" i="171"/>
  <c r="G29" i="171"/>
  <c r="F29" i="171"/>
  <c r="E29" i="171"/>
  <c r="D29" i="171"/>
  <c r="C29" i="171"/>
  <c r="B29" i="171"/>
  <c r="V28" i="171"/>
  <c r="U28" i="171"/>
  <c r="T28" i="171"/>
  <c r="S28" i="171"/>
  <c r="R28" i="171"/>
  <c r="Q28" i="171"/>
  <c r="P28" i="171"/>
  <c r="O28" i="171"/>
  <c r="N28" i="171"/>
  <c r="M28" i="171"/>
  <c r="L28" i="171"/>
  <c r="K28" i="171"/>
  <c r="J28" i="171"/>
  <c r="I28" i="171"/>
  <c r="H28" i="171"/>
  <c r="G28" i="171"/>
  <c r="F28" i="171"/>
  <c r="E28" i="171"/>
  <c r="D28" i="171"/>
  <c r="C28" i="171"/>
  <c r="B28" i="171"/>
  <c r="W27" i="171"/>
  <c r="V25" i="171"/>
  <c r="U25" i="171"/>
  <c r="U30" i="171" s="1"/>
  <c r="U32" i="171" s="1"/>
  <c r="T25" i="171"/>
  <c r="T30" i="171" s="1"/>
  <c r="T32" i="171" s="1"/>
  <c r="S25" i="171"/>
  <c r="R25" i="171"/>
  <c r="R30" i="171" s="1"/>
  <c r="R32" i="171" s="1"/>
  <c r="Q25" i="171"/>
  <c r="Q30" i="171" s="1"/>
  <c r="Q32" i="171" s="1"/>
  <c r="P25" i="171"/>
  <c r="P30" i="171" s="1"/>
  <c r="P32" i="171" s="1"/>
  <c r="O25" i="171"/>
  <c r="O30" i="171" s="1"/>
  <c r="O32" i="171" s="1"/>
  <c r="N25" i="171"/>
  <c r="M25" i="171"/>
  <c r="M30" i="171" s="1"/>
  <c r="M32" i="171" s="1"/>
  <c r="L25" i="171"/>
  <c r="L30" i="171" s="1"/>
  <c r="L32" i="171" s="1"/>
  <c r="K25" i="171"/>
  <c r="J25" i="171"/>
  <c r="J30" i="171" s="1"/>
  <c r="J32" i="171" s="1"/>
  <c r="I25" i="171"/>
  <c r="I30" i="171" s="1"/>
  <c r="I32" i="171" s="1"/>
  <c r="H25" i="171"/>
  <c r="H30" i="171" s="1"/>
  <c r="H32" i="171" s="1"/>
  <c r="G25" i="171"/>
  <c r="F25" i="171"/>
  <c r="E25" i="171"/>
  <c r="E30" i="171" s="1"/>
  <c r="E32" i="171" s="1"/>
  <c r="D25" i="171"/>
  <c r="D30" i="171" s="1"/>
  <c r="D32" i="171" s="1"/>
  <c r="C25" i="171"/>
  <c r="B25" i="171"/>
  <c r="B30" i="171" s="1"/>
  <c r="B32" i="171" s="1"/>
  <c r="W24" i="171"/>
  <c r="W23" i="171"/>
  <c r="W22" i="171"/>
  <c r="W21" i="171"/>
  <c r="W20" i="171"/>
  <c r="W19" i="171"/>
  <c r="W18" i="171"/>
  <c r="U11" i="171"/>
  <c r="V48" i="170"/>
  <c r="V40" i="170"/>
  <c r="X40" i="170" s="1"/>
  <c r="V41" i="170"/>
  <c r="X41" i="170" s="1"/>
  <c r="V42" i="170"/>
  <c r="X42" i="170" s="1"/>
  <c r="V43" i="170"/>
  <c r="X43" i="170" s="1"/>
  <c r="V44" i="170"/>
  <c r="X44" i="170" s="1"/>
  <c r="V45" i="170"/>
  <c r="X45" i="170" s="1"/>
  <c r="V39" i="170"/>
  <c r="X39" i="170" s="1"/>
  <c r="U50" i="170"/>
  <c r="U49" i="170"/>
  <c r="U46" i="170"/>
  <c r="U51" i="170" s="1"/>
  <c r="U53" i="170" s="1"/>
  <c r="D31" i="171" l="1"/>
  <c r="P31" i="171"/>
  <c r="L73" i="171"/>
  <c r="I73" i="171"/>
  <c r="M73" i="171"/>
  <c r="T31" i="171"/>
  <c r="F31" i="171"/>
  <c r="L31" i="171"/>
  <c r="G31" i="171"/>
  <c r="Q52" i="171"/>
  <c r="M31" i="171"/>
  <c r="V31" i="171"/>
  <c r="N31" i="171"/>
  <c r="U31" i="171"/>
  <c r="E52" i="171"/>
  <c r="H31" i="171"/>
  <c r="E73" i="171"/>
  <c r="J73" i="171"/>
  <c r="N30" i="171"/>
  <c r="N32" i="171" s="1"/>
  <c r="D52" i="171"/>
  <c r="C73" i="171"/>
  <c r="K73" i="171"/>
  <c r="C52" i="171"/>
  <c r="B73" i="171"/>
  <c r="D73" i="171"/>
  <c r="H73" i="171"/>
  <c r="F73" i="171"/>
  <c r="F30" i="171"/>
  <c r="F32" i="171" s="1"/>
  <c r="G52" i="171"/>
  <c r="N73" i="171"/>
  <c r="B31" i="171"/>
  <c r="J31" i="171"/>
  <c r="R31" i="171"/>
  <c r="F52" i="171"/>
  <c r="B52" i="171"/>
  <c r="H46" i="171"/>
  <c r="H49" i="171" s="1"/>
  <c r="V30" i="171"/>
  <c r="V32" i="171" s="1"/>
  <c r="Q31" i="171"/>
  <c r="I31" i="171"/>
  <c r="E31" i="171"/>
  <c r="W25" i="171"/>
  <c r="W28" i="171" s="1"/>
  <c r="U73" i="171"/>
  <c r="V73" i="171"/>
  <c r="R73" i="171"/>
  <c r="S73" i="171"/>
  <c r="T73" i="171"/>
  <c r="W73" i="171"/>
  <c r="C31" i="171"/>
  <c r="K31" i="171"/>
  <c r="S31" i="171"/>
  <c r="Q73" i="171"/>
  <c r="W72" i="171"/>
  <c r="W74" i="171" s="1"/>
  <c r="Y67" i="171"/>
  <c r="Y70" i="171" s="1"/>
  <c r="T52" i="171"/>
  <c r="V46" i="171"/>
  <c r="V49" i="171" s="1"/>
  <c r="U52" i="171"/>
  <c r="O52" i="171"/>
  <c r="S52" i="171"/>
  <c r="P52" i="171"/>
  <c r="C30" i="171"/>
  <c r="C32" i="171" s="1"/>
  <c r="K30" i="171"/>
  <c r="K32" i="171" s="1"/>
  <c r="S30" i="171"/>
  <c r="S32" i="171" s="1"/>
  <c r="R52" i="171"/>
  <c r="O31" i="171"/>
  <c r="G73" i="171"/>
  <c r="O73" i="171"/>
  <c r="X73" i="171"/>
  <c r="G30" i="171"/>
  <c r="G32" i="171" s="1"/>
  <c r="U52" i="170"/>
  <c r="H47" i="171" l="1"/>
  <c r="W26" i="171"/>
  <c r="Y68" i="171"/>
  <c r="V47" i="171"/>
  <c r="C50" i="170" l="1"/>
  <c r="B50" i="170"/>
  <c r="U11" i="170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C71" i="170"/>
  <c r="B71" i="170"/>
  <c r="W70" i="170"/>
  <c r="V70" i="170"/>
  <c r="U70" i="170"/>
  <c r="T70" i="170"/>
  <c r="S70" i="170"/>
  <c r="R70" i="170"/>
  <c r="Q70" i="170"/>
  <c r="P70" i="170"/>
  <c r="O70" i="170"/>
  <c r="N70" i="170"/>
  <c r="M70" i="170"/>
  <c r="L70" i="170"/>
  <c r="K70" i="170"/>
  <c r="J70" i="170"/>
  <c r="I70" i="170"/>
  <c r="H70" i="170"/>
  <c r="G70" i="170"/>
  <c r="F70" i="170"/>
  <c r="E70" i="170"/>
  <c r="D70" i="170"/>
  <c r="C70" i="170"/>
  <c r="B70" i="170"/>
  <c r="X69" i="170"/>
  <c r="W67" i="170"/>
  <c r="W72" i="170" s="1"/>
  <c r="W74" i="170" s="1"/>
  <c r="V67" i="170"/>
  <c r="V72" i="170" s="1"/>
  <c r="V74" i="170" s="1"/>
  <c r="U67" i="170"/>
  <c r="U72" i="170" s="1"/>
  <c r="U74" i="170" s="1"/>
  <c r="T67" i="170"/>
  <c r="T72" i="170" s="1"/>
  <c r="T74" i="170" s="1"/>
  <c r="S67" i="170"/>
  <c r="S72" i="170" s="1"/>
  <c r="S74" i="170" s="1"/>
  <c r="R67" i="170"/>
  <c r="R72" i="170" s="1"/>
  <c r="R74" i="170" s="1"/>
  <c r="Q67" i="170"/>
  <c r="Q72" i="170" s="1"/>
  <c r="Q74" i="170" s="1"/>
  <c r="P67" i="170"/>
  <c r="O67" i="170"/>
  <c r="O72" i="170" s="1"/>
  <c r="O74" i="170" s="1"/>
  <c r="N67" i="170"/>
  <c r="N72" i="170" s="1"/>
  <c r="N74" i="170" s="1"/>
  <c r="M67" i="170"/>
  <c r="M72" i="170" s="1"/>
  <c r="M74" i="170" s="1"/>
  <c r="L67" i="170"/>
  <c r="L72" i="170" s="1"/>
  <c r="L74" i="170" s="1"/>
  <c r="K67" i="170"/>
  <c r="K72" i="170" s="1"/>
  <c r="K74" i="170" s="1"/>
  <c r="J67" i="170"/>
  <c r="J72" i="170" s="1"/>
  <c r="J74" i="170" s="1"/>
  <c r="I67" i="170"/>
  <c r="I72" i="170" s="1"/>
  <c r="I74" i="170" s="1"/>
  <c r="H67" i="170"/>
  <c r="H72" i="170" s="1"/>
  <c r="H74" i="170" s="1"/>
  <c r="G67" i="170"/>
  <c r="G72" i="170" s="1"/>
  <c r="G74" i="170" s="1"/>
  <c r="F67" i="170"/>
  <c r="F72" i="170" s="1"/>
  <c r="F74" i="170" s="1"/>
  <c r="E67" i="170"/>
  <c r="E72" i="170" s="1"/>
  <c r="E74" i="170" s="1"/>
  <c r="D67" i="170"/>
  <c r="D72" i="170" s="1"/>
  <c r="D74" i="170" s="1"/>
  <c r="C67" i="170"/>
  <c r="C72" i="170" s="1"/>
  <c r="C74" i="170" s="1"/>
  <c r="B67" i="170"/>
  <c r="B72" i="170" s="1"/>
  <c r="B74" i="170" s="1"/>
  <c r="X66" i="170"/>
  <c r="X65" i="170"/>
  <c r="X64" i="170"/>
  <c r="X63" i="170"/>
  <c r="X62" i="170"/>
  <c r="X61" i="170"/>
  <c r="X60" i="170"/>
  <c r="T50" i="170"/>
  <c r="S50" i="170"/>
  <c r="R50" i="170"/>
  <c r="Q50" i="170"/>
  <c r="P50" i="170"/>
  <c r="O50" i="170"/>
  <c r="G50" i="170"/>
  <c r="F50" i="170"/>
  <c r="E50" i="170"/>
  <c r="D50" i="170"/>
  <c r="T49" i="170"/>
  <c r="S49" i="170"/>
  <c r="R49" i="170"/>
  <c r="Q49" i="170"/>
  <c r="P49" i="170"/>
  <c r="O49" i="170"/>
  <c r="G49" i="170"/>
  <c r="F49" i="170"/>
  <c r="E49" i="170"/>
  <c r="D49" i="170"/>
  <c r="H48" i="170"/>
  <c r="T46" i="170"/>
  <c r="T51" i="170" s="1"/>
  <c r="T53" i="170" s="1"/>
  <c r="S46" i="170"/>
  <c r="S51" i="170" s="1"/>
  <c r="S53" i="170" s="1"/>
  <c r="R46" i="170"/>
  <c r="R51" i="170" s="1"/>
  <c r="R53" i="170" s="1"/>
  <c r="Q46" i="170"/>
  <c r="Q51" i="170" s="1"/>
  <c r="Q53" i="170" s="1"/>
  <c r="P46" i="170"/>
  <c r="P51" i="170" s="1"/>
  <c r="P53" i="170" s="1"/>
  <c r="O46" i="170"/>
  <c r="G46" i="170"/>
  <c r="G51" i="170" s="1"/>
  <c r="G53" i="170" s="1"/>
  <c r="F46" i="170"/>
  <c r="F51" i="170" s="1"/>
  <c r="F53" i="170" s="1"/>
  <c r="E46" i="170"/>
  <c r="E51" i="170" s="1"/>
  <c r="E53" i="170" s="1"/>
  <c r="D46" i="170"/>
  <c r="D51" i="170" s="1"/>
  <c r="D53" i="170" s="1"/>
  <c r="C46" i="170"/>
  <c r="C51" i="170" s="1"/>
  <c r="B46" i="170"/>
  <c r="B51" i="170" s="1"/>
  <c r="H45" i="170"/>
  <c r="H44" i="170"/>
  <c r="H43" i="170"/>
  <c r="H42" i="170"/>
  <c r="H41" i="170"/>
  <c r="H40" i="170"/>
  <c r="H39" i="170"/>
  <c r="V29" i="170"/>
  <c r="U29" i="170"/>
  <c r="T29" i="170"/>
  <c r="S29" i="170"/>
  <c r="R29" i="170"/>
  <c r="Q29" i="170"/>
  <c r="P29" i="170"/>
  <c r="O29" i="170"/>
  <c r="N29" i="170"/>
  <c r="M29" i="170"/>
  <c r="L29" i="170"/>
  <c r="K29" i="170"/>
  <c r="J29" i="170"/>
  <c r="I29" i="170"/>
  <c r="H29" i="170"/>
  <c r="G29" i="170"/>
  <c r="F29" i="170"/>
  <c r="E29" i="170"/>
  <c r="D29" i="170"/>
  <c r="C29" i="170"/>
  <c r="B29" i="170"/>
  <c r="V28" i="170"/>
  <c r="U28" i="170"/>
  <c r="T28" i="170"/>
  <c r="S28" i="170"/>
  <c r="R28" i="170"/>
  <c r="Q28" i="170"/>
  <c r="P28" i="170"/>
  <c r="O28" i="170"/>
  <c r="N28" i="170"/>
  <c r="M28" i="170"/>
  <c r="L28" i="170"/>
  <c r="K28" i="170"/>
  <c r="J28" i="170"/>
  <c r="I28" i="170"/>
  <c r="H28" i="170"/>
  <c r="G28" i="170"/>
  <c r="F28" i="170"/>
  <c r="E28" i="170"/>
  <c r="D28" i="170"/>
  <c r="C28" i="170"/>
  <c r="B28" i="170"/>
  <c r="W27" i="170"/>
  <c r="V25" i="170"/>
  <c r="U25" i="170"/>
  <c r="U30" i="170" s="1"/>
  <c r="U32" i="170" s="1"/>
  <c r="T25" i="170"/>
  <c r="T30" i="170" s="1"/>
  <c r="T32" i="170" s="1"/>
  <c r="S25" i="170"/>
  <c r="S30" i="170" s="1"/>
  <c r="S32" i="170" s="1"/>
  <c r="R25" i="170"/>
  <c r="R30" i="170" s="1"/>
  <c r="R32" i="170" s="1"/>
  <c r="Q25" i="170"/>
  <c r="Q30" i="170" s="1"/>
  <c r="Q32" i="170" s="1"/>
  <c r="P25" i="170"/>
  <c r="P30" i="170" s="1"/>
  <c r="P32" i="170" s="1"/>
  <c r="O25" i="170"/>
  <c r="O30" i="170" s="1"/>
  <c r="O32" i="170" s="1"/>
  <c r="N25" i="170"/>
  <c r="N30" i="170" s="1"/>
  <c r="N32" i="170" s="1"/>
  <c r="M25" i="170"/>
  <c r="M30" i="170" s="1"/>
  <c r="M32" i="170" s="1"/>
  <c r="L25" i="170"/>
  <c r="L30" i="170" s="1"/>
  <c r="L32" i="170" s="1"/>
  <c r="K25" i="170"/>
  <c r="K30" i="170" s="1"/>
  <c r="K32" i="170" s="1"/>
  <c r="J25" i="170"/>
  <c r="I25" i="170"/>
  <c r="H25" i="170"/>
  <c r="H30" i="170" s="1"/>
  <c r="H32" i="170" s="1"/>
  <c r="G25" i="170"/>
  <c r="F25" i="170"/>
  <c r="F30" i="170" s="1"/>
  <c r="F32" i="170" s="1"/>
  <c r="E25" i="170"/>
  <c r="E30" i="170" s="1"/>
  <c r="E32" i="170" s="1"/>
  <c r="D25" i="170"/>
  <c r="D30" i="170" s="1"/>
  <c r="D32" i="170" s="1"/>
  <c r="C25" i="170"/>
  <c r="C30" i="170" s="1"/>
  <c r="C32" i="170" s="1"/>
  <c r="B25" i="170"/>
  <c r="B30" i="170" s="1"/>
  <c r="B32" i="170" s="1"/>
  <c r="W24" i="170"/>
  <c r="W23" i="170"/>
  <c r="W22" i="170"/>
  <c r="W21" i="170"/>
  <c r="W20" i="170"/>
  <c r="W19" i="170"/>
  <c r="W18" i="170"/>
  <c r="G31" i="170" l="1"/>
  <c r="J31" i="170"/>
  <c r="P73" i="170"/>
  <c r="V31" i="170"/>
  <c r="O51" i="170"/>
  <c r="O53" i="170" s="1"/>
  <c r="V46" i="170"/>
  <c r="L73" i="170"/>
  <c r="N73" i="170"/>
  <c r="O73" i="170"/>
  <c r="B73" i="170"/>
  <c r="J73" i="170"/>
  <c r="C73" i="170"/>
  <c r="S52" i="170"/>
  <c r="D73" i="170"/>
  <c r="E73" i="170"/>
  <c r="M73" i="170"/>
  <c r="T31" i="170"/>
  <c r="R52" i="170"/>
  <c r="I73" i="170"/>
  <c r="K73" i="170"/>
  <c r="T52" i="170"/>
  <c r="O52" i="170"/>
  <c r="F73" i="170"/>
  <c r="P52" i="170"/>
  <c r="G73" i="170"/>
  <c r="Q52" i="170"/>
  <c r="H73" i="170"/>
  <c r="Q73" i="170"/>
  <c r="V73" i="170"/>
  <c r="W73" i="170"/>
  <c r="U73" i="170"/>
  <c r="X67" i="170"/>
  <c r="X70" i="170" s="1"/>
  <c r="R73" i="170"/>
  <c r="S73" i="170"/>
  <c r="T73" i="170"/>
  <c r="P72" i="170"/>
  <c r="P74" i="170" s="1"/>
  <c r="G52" i="170"/>
  <c r="D52" i="170"/>
  <c r="E52" i="170"/>
  <c r="F52" i="170"/>
  <c r="H46" i="170"/>
  <c r="H47" i="170" s="1"/>
  <c r="C52" i="170"/>
  <c r="B52" i="170"/>
  <c r="B49" i="170"/>
  <c r="B53" i="170"/>
  <c r="C49" i="170"/>
  <c r="C53" i="170"/>
  <c r="Q31" i="170"/>
  <c r="P31" i="170"/>
  <c r="H31" i="170"/>
  <c r="G30" i="170"/>
  <c r="G32" i="170" s="1"/>
  <c r="K31" i="170"/>
  <c r="O31" i="170"/>
  <c r="S31" i="170"/>
  <c r="R31" i="170"/>
  <c r="N31" i="170"/>
  <c r="M31" i="170"/>
  <c r="L31" i="170"/>
  <c r="F31" i="170"/>
  <c r="E31" i="170"/>
  <c r="D31" i="170"/>
  <c r="C31" i="170"/>
  <c r="W25" i="170"/>
  <c r="W28" i="170" s="1"/>
  <c r="B31" i="170"/>
  <c r="I31" i="170"/>
  <c r="U31" i="170"/>
  <c r="I30" i="170"/>
  <c r="I32" i="170" s="1"/>
  <c r="J30" i="170"/>
  <c r="J32" i="170" s="1"/>
  <c r="V30" i="170"/>
  <c r="V32" i="170" s="1"/>
  <c r="V49" i="170" l="1"/>
  <c r="V47" i="170"/>
  <c r="X68" i="170"/>
  <c r="H49" i="170"/>
  <c r="W26" i="170"/>
  <c r="X61" i="168" l="1"/>
  <c r="X62" i="168"/>
  <c r="X63" i="168"/>
  <c r="X64" i="168"/>
  <c r="X65" i="168"/>
  <c r="X66" i="168"/>
  <c r="X60" i="168"/>
  <c r="X69" i="168"/>
  <c r="W71" i="168"/>
  <c r="W70" i="168"/>
  <c r="W67" i="168"/>
  <c r="W72" i="168" s="1"/>
  <c r="W74" i="168" s="1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C71" i="168"/>
  <c r="B71" i="168"/>
  <c r="V70" i="168"/>
  <c r="U70" i="168"/>
  <c r="T70" i="168"/>
  <c r="S70" i="168"/>
  <c r="R70" i="168"/>
  <c r="Q70" i="168"/>
  <c r="P70" i="168"/>
  <c r="O70" i="168"/>
  <c r="N70" i="168"/>
  <c r="M70" i="168"/>
  <c r="L70" i="168"/>
  <c r="K70" i="168"/>
  <c r="J70" i="168"/>
  <c r="I70" i="168"/>
  <c r="H70" i="168"/>
  <c r="G70" i="168"/>
  <c r="F70" i="168"/>
  <c r="E70" i="168"/>
  <c r="D70" i="168"/>
  <c r="C70" i="168"/>
  <c r="B70" i="168"/>
  <c r="V67" i="168"/>
  <c r="V72" i="168" s="1"/>
  <c r="V74" i="168" s="1"/>
  <c r="U67" i="168"/>
  <c r="U72" i="168" s="1"/>
  <c r="U74" i="168" s="1"/>
  <c r="T67" i="168"/>
  <c r="T72" i="168" s="1"/>
  <c r="T74" i="168" s="1"/>
  <c r="S67" i="168"/>
  <c r="S72" i="168" s="1"/>
  <c r="S74" i="168" s="1"/>
  <c r="R67" i="168"/>
  <c r="R72" i="168" s="1"/>
  <c r="R74" i="168" s="1"/>
  <c r="Q67" i="168"/>
  <c r="Q72" i="168" s="1"/>
  <c r="Q74" i="168" s="1"/>
  <c r="P67" i="168"/>
  <c r="P72" i="168" s="1"/>
  <c r="P74" i="168" s="1"/>
  <c r="O67" i="168"/>
  <c r="O72" i="168" s="1"/>
  <c r="O74" i="168" s="1"/>
  <c r="N67" i="168"/>
  <c r="N72" i="168" s="1"/>
  <c r="N74" i="168" s="1"/>
  <c r="M67" i="168"/>
  <c r="L67" i="168"/>
  <c r="L72" i="168" s="1"/>
  <c r="L74" i="168" s="1"/>
  <c r="K67" i="168"/>
  <c r="K72" i="168" s="1"/>
  <c r="K74" i="168" s="1"/>
  <c r="J67" i="168"/>
  <c r="J72" i="168" s="1"/>
  <c r="J74" i="168" s="1"/>
  <c r="I67" i="168"/>
  <c r="I72" i="168" s="1"/>
  <c r="I74" i="168" s="1"/>
  <c r="H67" i="168"/>
  <c r="H72" i="168" s="1"/>
  <c r="H74" i="168" s="1"/>
  <c r="G67" i="168"/>
  <c r="G72" i="168" s="1"/>
  <c r="G74" i="168" s="1"/>
  <c r="F67" i="168"/>
  <c r="F72" i="168" s="1"/>
  <c r="F74" i="168" s="1"/>
  <c r="E67" i="168"/>
  <c r="D67" i="168"/>
  <c r="D72" i="168" s="1"/>
  <c r="D74" i="168" s="1"/>
  <c r="C67" i="168"/>
  <c r="C72" i="168" s="1"/>
  <c r="C74" i="168" s="1"/>
  <c r="B67" i="168"/>
  <c r="B72" i="168" s="1"/>
  <c r="B74" i="168" s="1"/>
  <c r="T50" i="168"/>
  <c r="S50" i="168"/>
  <c r="R50" i="168"/>
  <c r="Q50" i="168"/>
  <c r="P50" i="168"/>
  <c r="O50" i="168"/>
  <c r="G50" i="168"/>
  <c r="F50" i="168"/>
  <c r="E50" i="168"/>
  <c r="D50" i="168"/>
  <c r="C50" i="168"/>
  <c r="B50" i="168"/>
  <c r="T49" i="168"/>
  <c r="S49" i="168"/>
  <c r="R49" i="168"/>
  <c r="Q49" i="168"/>
  <c r="P49" i="168"/>
  <c r="O49" i="168"/>
  <c r="G49" i="168"/>
  <c r="F49" i="168"/>
  <c r="E49" i="168"/>
  <c r="D49" i="168"/>
  <c r="C49" i="168"/>
  <c r="B49" i="168"/>
  <c r="U48" i="168"/>
  <c r="H48" i="168"/>
  <c r="T46" i="168"/>
  <c r="T51" i="168" s="1"/>
  <c r="T53" i="168" s="1"/>
  <c r="S46" i="168"/>
  <c r="S51" i="168" s="1"/>
  <c r="S53" i="168" s="1"/>
  <c r="R46" i="168"/>
  <c r="R51" i="168" s="1"/>
  <c r="R53" i="168" s="1"/>
  <c r="Q46" i="168"/>
  <c r="Q51" i="168" s="1"/>
  <c r="Q53" i="168" s="1"/>
  <c r="P46" i="168"/>
  <c r="P51" i="168" s="1"/>
  <c r="P53" i="168" s="1"/>
  <c r="O46" i="168"/>
  <c r="G46" i="168"/>
  <c r="G51" i="168" s="1"/>
  <c r="G53" i="168" s="1"/>
  <c r="F46" i="168"/>
  <c r="F51" i="168" s="1"/>
  <c r="F53" i="168" s="1"/>
  <c r="E46" i="168"/>
  <c r="E51" i="168" s="1"/>
  <c r="E53" i="168" s="1"/>
  <c r="D46" i="168"/>
  <c r="D51" i="168" s="1"/>
  <c r="D53" i="168" s="1"/>
  <c r="C46" i="168"/>
  <c r="C51" i="168" s="1"/>
  <c r="C53" i="168" s="1"/>
  <c r="B46" i="168"/>
  <c r="U45" i="168"/>
  <c r="H45" i="168"/>
  <c r="U44" i="168"/>
  <c r="H44" i="168"/>
  <c r="U43" i="168"/>
  <c r="H43" i="168"/>
  <c r="U42" i="168"/>
  <c r="H42" i="168"/>
  <c r="U41" i="168"/>
  <c r="H41" i="168"/>
  <c r="U40" i="168"/>
  <c r="H40" i="168"/>
  <c r="U39" i="168"/>
  <c r="H39" i="168"/>
  <c r="V29" i="168"/>
  <c r="U29" i="168"/>
  <c r="T29" i="168"/>
  <c r="S29" i="168"/>
  <c r="R29" i="168"/>
  <c r="Q29" i="168"/>
  <c r="P29" i="168"/>
  <c r="O29" i="168"/>
  <c r="N29" i="168"/>
  <c r="M29" i="168"/>
  <c r="L29" i="168"/>
  <c r="K29" i="168"/>
  <c r="J29" i="168"/>
  <c r="I29" i="168"/>
  <c r="H29" i="168"/>
  <c r="G29" i="168"/>
  <c r="F29" i="168"/>
  <c r="E29" i="168"/>
  <c r="D29" i="168"/>
  <c r="C29" i="168"/>
  <c r="B29" i="168"/>
  <c r="V28" i="168"/>
  <c r="U28" i="168"/>
  <c r="T28" i="168"/>
  <c r="S28" i="168"/>
  <c r="R28" i="168"/>
  <c r="Q28" i="168"/>
  <c r="P28" i="168"/>
  <c r="O28" i="168"/>
  <c r="N28" i="168"/>
  <c r="M28" i="168"/>
  <c r="L28" i="168"/>
  <c r="K28" i="168"/>
  <c r="J28" i="168"/>
  <c r="I28" i="168"/>
  <c r="H28" i="168"/>
  <c r="G28" i="168"/>
  <c r="F28" i="168"/>
  <c r="E28" i="168"/>
  <c r="D28" i="168"/>
  <c r="C28" i="168"/>
  <c r="B28" i="168"/>
  <c r="W27" i="168"/>
  <c r="V25" i="168"/>
  <c r="V30" i="168" s="1"/>
  <c r="V32" i="168" s="1"/>
  <c r="U25" i="168"/>
  <c r="U30" i="168" s="1"/>
  <c r="U32" i="168" s="1"/>
  <c r="T25" i="168"/>
  <c r="T30" i="168" s="1"/>
  <c r="T32" i="168" s="1"/>
  <c r="S25" i="168"/>
  <c r="S30" i="168" s="1"/>
  <c r="S32" i="168" s="1"/>
  <c r="R25" i="168"/>
  <c r="R30" i="168" s="1"/>
  <c r="R32" i="168" s="1"/>
  <c r="Q25" i="168"/>
  <c r="Q30" i="168" s="1"/>
  <c r="Q32" i="168" s="1"/>
  <c r="P25" i="168"/>
  <c r="P30" i="168" s="1"/>
  <c r="P32" i="168" s="1"/>
  <c r="O25" i="168"/>
  <c r="O30" i="168" s="1"/>
  <c r="O32" i="168" s="1"/>
  <c r="N25" i="168"/>
  <c r="N30" i="168" s="1"/>
  <c r="N32" i="168" s="1"/>
  <c r="M25" i="168"/>
  <c r="M30" i="168" s="1"/>
  <c r="M32" i="168" s="1"/>
  <c r="L25" i="168"/>
  <c r="L30" i="168" s="1"/>
  <c r="L32" i="168" s="1"/>
  <c r="K25" i="168"/>
  <c r="K30" i="168" s="1"/>
  <c r="K32" i="168" s="1"/>
  <c r="J25" i="168"/>
  <c r="J30" i="168" s="1"/>
  <c r="J32" i="168" s="1"/>
  <c r="I25" i="168"/>
  <c r="I30" i="168" s="1"/>
  <c r="I32" i="168" s="1"/>
  <c r="H25" i="168"/>
  <c r="H30" i="168" s="1"/>
  <c r="H32" i="168" s="1"/>
  <c r="G25" i="168"/>
  <c r="G30" i="168" s="1"/>
  <c r="G32" i="168" s="1"/>
  <c r="F25" i="168"/>
  <c r="F30" i="168" s="1"/>
  <c r="F32" i="168" s="1"/>
  <c r="E25" i="168"/>
  <c r="E30" i="168" s="1"/>
  <c r="E32" i="168" s="1"/>
  <c r="D25" i="168"/>
  <c r="C25" i="168"/>
  <c r="C30" i="168" s="1"/>
  <c r="C32" i="168" s="1"/>
  <c r="B25" i="168"/>
  <c r="B30" i="168" s="1"/>
  <c r="B32" i="168" s="1"/>
  <c r="W24" i="168"/>
  <c r="W23" i="168"/>
  <c r="W22" i="168"/>
  <c r="W21" i="168"/>
  <c r="W20" i="168"/>
  <c r="W19" i="168"/>
  <c r="W18" i="168"/>
  <c r="W69" i="167"/>
  <c r="W60" i="167"/>
  <c r="W61" i="167"/>
  <c r="W62" i="167"/>
  <c r="W63" i="167"/>
  <c r="W64" i="167"/>
  <c r="W65" i="167"/>
  <c r="W66" i="167"/>
  <c r="Q49" i="167"/>
  <c r="O31" i="168" l="1"/>
  <c r="Q31" i="168"/>
  <c r="P31" i="168"/>
  <c r="P73" i="168"/>
  <c r="H46" i="168"/>
  <c r="H49" i="168" s="1"/>
  <c r="Q73" i="168"/>
  <c r="G31" i="168"/>
  <c r="M73" i="168"/>
  <c r="H31" i="168"/>
  <c r="G73" i="168"/>
  <c r="O73" i="168"/>
  <c r="H73" i="168"/>
  <c r="X67" i="168"/>
  <c r="X68" i="168" s="1"/>
  <c r="I73" i="168"/>
  <c r="W73" i="168"/>
  <c r="B52" i="168"/>
  <c r="B31" i="168"/>
  <c r="J31" i="168"/>
  <c r="R31" i="168"/>
  <c r="C52" i="168"/>
  <c r="R52" i="168"/>
  <c r="B73" i="168"/>
  <c r="J73" i="168"/>
  <c r="R73" i="168"/>
  <c r="Q52" i="168"/>
  <c r="D52" i="168"/>
  <c r="S52" i="168"/>
  <c r="C73" i="168"/>
  <c r="K73" i="168"/>
  <c r="S73" i="168"/>
  <c r="E31" i="168"/>
  <c r="M31" i="168"/>
  <c r="U31" i="168"/>
  <c r="U46" i="168"/>
  <c r="U49" i="168" s="1"/>
  <c r="F52" i="168"/>
  <c r="F31" i="168"/>
  <c r="N31" i="168"/>
  <c r="V31" i="168"/>
  <c r="G52" i="168"/>
  <c r="O51" i="168"/>
  <c r="O53" i="168" s="1"/>
  <c r="F73" i="168"/>
  <c r="N73" i="168"/>
  <c r="V73" i="168"/>
  <c r="T31" i="168"/>
  <c r="C31" i="168"/>
  <c r="K31" i="168"/>
  <c r="S31" i="168"/>
  <c r="D73" i="168"/>
  <c r="L73" i="168"/>
  <c r="T73" i="168"/>
  <c r="L31" i="168"/>
  <c r="U73" i="168"/>
  <c r="B51" i="168"/>
  <c r="B53" i="168" s="1"/>
  <c r="D30" i="168"/>
  <c r="D32" i="168" s="1"/>
  <c r="E72" i="168"/>
  <c r="E74" i="168" s="1"/>
  <c r="M72" i="168"/>
  <c r="M74" i="168" s="1"/>
  <c r="H47" i="168" l="1"/>
  <c r="U47" i="168"/>
  <c r="T52" i="168"/>
  <c r="E52" i="168"/>
  <c r="O52" i="168"/>
  <c r="W25" i="168"/>
  <c r="P52" i="168"/>
  <c r="D31" i="168"/>
  <c r="I31" i="168"/>
  <c r="E73" i="168"/>
  <c r="X70" i="168"/>
  <c r="W28" i="168" l="1"/>
  <c r="W26" i="168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C71" i="167"/>
  <c r="B71" i="167"/>
  <c r="V70" i="167"/>
  <c r="U70" i="167"/>
  <c r="T70" i="167"/>
  <c r="S70" i="167"/>
  <c r="R70" i="167"/>
  <c r="Q70" i="167"/>
  <c r="P70" i="167"/>
  <c r="O70" i="167"/>
  <c r="N70" i="167"/>
  <c r="M70" i="167"/>
  <c r="L70" i="167"/>
  <c r="K70" i="167"/>
  <c r="J70" i="167"/>
  <c r="I70" i="167"/>
  <c r="H70" i="167"/>
  <c r="G70" i="167"/>
  <c r="F70" i="167"/>
  <c r="E70" i="167"/>
  <c r="D70" i="167"/>
  <c r="C70" i="167"/>
  <c r="B70" i="167"/>
  <c r="V67" i="167"/>
  <c r="V72" i="167" s="1"/>
  <c r="V74" i="167" s="1"/>
  <c r="U67" i="167"/>
  <c r="T67" i="167"/>
  <c r="T72" i="167" s="1"/>
  <c r="T74" i="167" s="1"/>
  <c r="S67" i="167"/>
  <c r="S72" i="167" s="1"/>
  <c r="S74" i="167" s="1"/>
  <c r="R67" i="167"/>
  <c r="R72" i="167" s="1"/>
  <c r="R74" i="167" s="1"/>
  <c r="Q67" i="167"/>
  <c r="Q72" i="167" s="1"/>
  <c r="Q74" i="167" s="1"/>
  <c r="P67" i="167"/>
  <c r="P72" i="167" s="1"/>
  <c r="P74" i="167" s="1"/>
  <c r="O67" i="167"/>
  <c r="O72" i="167" s="1"/>
  <c r="O74" i="167" s="1"/>
  <c r="N67" i="167"/>
  <c r="M67" i="167"/>
  <c r="L67" i="167"/>
  <c r="K67" i="167"/>
  <c r="K72" i="167" s="1"/>
  <c r="K74" i="167" s="1"/>
  <c r="J67" i="167"/>
  <c r="J72" i="167" s="1"/>
  <c r="J74" i="167" s="1"/>
  <c r="I67" i="167"/>
  <c r="I72" i="167" s="1"/>
  <c r="I74" i="167" s="1"/>
  <c r="H67" i="167"/>
  <c r="H72" i="167" s="1"/>
  <c r="H74" i="167" s="1"/>
  <c r="G67" i="167"/>
  <c r="G72" i="167" s="1"/>
  <c r="G74" i="167" s="1"/>
  <c r="F67" i="167"/>
  <c r="F72" i="167" s="1"/>
  <c r="F74" i="167" s="1"/>
  <c r="E67" i="167"/>
  <c r="D67" i="167"/>
  <c r="D72" i="167" s="1"/>
  <c r="D74" i="167" s="1"/>
  <c r="C67" i="167"/>
  <c r="C72" i="167" s="1"/>
  <c r="C74" i="167" s="1"/>
  <c r="B67" i="167"/>
  <c r="B72" i="167" s="1"/>
  <c r="B74" i="167" s="1"/>
  <c r="T50" i="167"/>
  <c r="S50" i="167"/>
  <c r="R50" i="167"/>
  <c r="Q50" i="167"/>
  <c r="P50" i="167"/>
  <c r="O50" i="167"/>
  <c r="G50" i="167"/>
  <c r="F50" i="167"/>
  <c r="E50" i="167"/>
  <c r="D50" i="167"/>
  <c r="C50" i="167"/>
  <c r="B50" i="167"/>
  <c r="T49" i="167"/>
  <c r="S49" i="167"/>
  <c r="R49" i="167"/>
  <c r="P49" i="167"/>
  <c r="O49" i="167"/>
  <c r="G49" i="167"/>
  <c r="F49" i="167"/>
  <c r="E49" i="167"/>
  <c r="D49" i="167"/>
  <c r="C49" i="167"/>
  <c r="B49" i="167"/>
  <c r="U48" i="167"/>
  <c r="H48" i="167"/>
  <c r="T46" i="167"/>
  <c r="T51" i="167" s="1"/>
  <c r="T53" i="167" s="1"/>
  <c r="S46" i="167"/>
  <c r="S51" i="167" s="1"/>
  <c r="S53" i="167" s="1"/>
  <c r="R46" i="167"/>
  <c r="R51" i="167" s="1"/>
  <c r="R53" i="167" s="1"/>
  <c r="Q46" i="167"/>
  <c r="Q51" i="167" s="1"/>
  <c r="Q53" i="167" s="1"/>
  <c r="P46" i="167"/>
  <c r="P51" i="167" s="1"/>
  <c r="P53" i="167" s="1"/>
  <c r="O46" i="167"/>
  <c r="O51" i="167" s="1"/>
  <c r="O53" i="167" s="1"/>
  <c r="G46" i="167"/>
  <c r="F46" i="167"/>
  <c r="E46" i="167"/>
  <c r="D46" i="167"/>
  <c r="C46" i="167"/>
  <c r="B46" i="167"/>
  <c r="B51" i="167" s="1"/>
  <c r="B53" i="167" s="1"/>
  <c r="U45" i="167"/>
  <c r="H45" i="167"/>
  <c r="U44" i="167"/>
  <c r="H44" i="167"/>
  <c r="U43" i="167"/>
  <c r="H43" i="167"/>
  <c r="U42" i="167"/>
  <c r="H42" i="167"/>
  <c r="U41" i="167"/>
  <c r="H41" i="167"/>
  <c r="U40" i="167"/>
  <c r="H40" i="167"/>
  <c r="U39" i="167"/>
  <c r="H39" i="167"/>
  <c r="V29" i="167"/>
  <c r="U29" i="167"/>
  <c r="T29" i="167"/>
  <c r="S29" i="167"/>
  <c r="R29" i="167"/>
  <c r="Q29" i="167"/>
  <c r="P29" i="167"/>
  <c r="O29" i="167"/>
  <c r="N29" i="167"/>
  <c r="M29" i="167"/>
  <c r="L29" i="167"/>
  <c r="K29" i="167"/>
  <c r="J29" i="167"/>
  <c r="I29" i="167"/>
  <c r="H29" i="167"/>
  <c r="G29" i="167"/>
  <c r="F29" i="167"/>
  <c r="E29" i="167"/>
  <c r="D29" i="167"/>
  <c r="C29" i="167"/>
  <c r="B29" i="167"/>
  <c r="V28" i="167"/>
  <c r="U28" i="167"/>
  <c r="T28" i="167"/>
  <c r="S28" i="167"/>
  <c r="R28" i="167"/>
  <c r="Q28" i="167"/>
  <c r="P28" i="167"/>
  <c r="O28" i="167"/>
  <c r="N28" i="167"/>
  <c r="M28" i="167"/>
  <c r="L28" i="167"/>
  <c r="K28" i="167"/>
  <c r="J28" i="167"/>
  <c r="I28" i="167"/>
  <c r="H28" i="167"/>
  <c r="G28" i="167"/>
  <c r="F28" i="167"/>
  <c r="E28" i="167"/>
  <c r="D28" i="167"/>
  <c r="C28" i="167"/>
  <c r="B28" i="167"/>
  <c r="W27" i="167"/>
  <c r="V25" i="167"/>
  <c r="V30" i="167" s="1"/>
  <c r="V32" i="167" s="1"/>
  <c r="U25" i="167"/>
  <c r="U30" i="167" s="1"/>
  <c r="U32" i="167" s="1"/>
  <c r="T25" i="167"/>
  <c r="S25" i="167"/>
  <c r="R25" i="167"/>
  <c r="R30" i="167" s="1"/>
  <c r="R32" i="167" s="1"/>
  <c r="Q25" i="167"/>
  <c r="Q30" i="167" s="1"/>
  <c r="Q32" i="167" s="1"/>
  <c r="P25" i="167"/>
  <c r="P30" i="167" s="1"/>
  <c r="P32" i="167" s="1"/>
  <c r="O25" i="167"/>
  <c r="O30" i="167" s="1"/>
  <c r="O32" i="167" s="1"/>
  <c r="N25" i="167"/>
  <c r="N30" i="167" s="1"/>
  <c r="N32" i="167" s="1"/>
  <c r="M25" i="167"/>
  <c r="M30" i="167" s="1"/>
  <c r="M32" i="167" s="1"/>
  <c r="L25" i="167"/>
  <c r="L30" i="167" s="1"/>
  <c r="L32" i="167" s="1"/>
  <c r="K25" i="167"/>
  <c r="K30" i="167" s="1"/>
  <c r="K32" i="167" s="1"/>
  <c r="J25" i="167"/>
  <c r="J30" i="167" s="1"/>
  <c r="J32" i="167" s="1"/>
  <c r="I25" i="167"/>
  <c r="I30" i="167" s="1"/>
  <c r="I32" i="167" s="1"/>
  <c r="H25" i="167"/>
  <c r="H30" i="167" s="1"/>
  <c r="H32" i="167" s="1"/>
  <c r="G25" i="167"/>
  <c r="G30" i="167" s="1"/>
  <c r="G32" i="167" s="1"/>
  <c r="F25" i="167"/>
  <c r="F30" i="167" s="1"/>
  <c r="F32" i="167" s="1"/>
  <c r="E25" i="167"/>
  <c r="D25" i="167"/>
  <c r="C25" i="167"/>
  <c r="B25" i="167"/>
  <c r="B30" i="167" s="1"/>
  <c r="B32" i="167" s="1"/>
  <c r="W24" i="167"/>
  <c r="W23" i="167"/>
  <c r="W22" i="167"/>
  <c r="W21" i="167"/>
  <c r="W20" i="167"/>
  <c r="W19" i="167"/>
  <c r="W18" i="167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C71" i="166"/>
  <c r="B71" i="166"/>
  <c r="V70" i="166"/>
  <c r="U70" i="166"/>
  <c r="T70" i="166"/>
  <c r="S70" i="166"/>
  <c r="R70" i="166"/>
  <c r="Q70" i="166"/>
  <c r="P70" i="166"/>
  <c r="O70" i="166"/>
  <c r="N70" i="166"/>
  <c r="M70" i="166"/>
  <c r="L70" i="166"/>
  <c r="K70" i="166"/>
  <c r="J70" i="166"/>
  <c r="I70" i="166"/>
  <c r="H70" i="166"/>
  <c r="G70" i="166"/>
  <c r="F70" i="166"/>
  <c r="E70" i="166"/>
  <c r="D70" i="166"/>
  <c r="C70" i="166"/>
  <c r="B70" i="166"/>
  <c r="W69" i="166"/>
  <c r="V67" i="166"/>
  <c r="V72" i="166" s="1"/>
  <c r="V74" i="166" s="1"/>
  <c r="U67" i="166"/>
  <c r="U72" i="166" s="1"/>
  <c r="U74" i="166" s="1"/>
  <c r="T67" i="166"/>
  <c r="T72" i="166" s="1"/>
  <c r="T74" i="166" s="1"/>
  <c r="S67" i="166"/>
  <c r="R67" i="166"/>
  <c r="Q67" i="166"/>
  <c r="Q72" i="166" s="1"/>
  <c r="Q74" i="166" s="1"/>
  <c r="P67" i="166"/>
  <c r="P72" i="166" s="1"/>
  <c r="P74" i="166" s="1"/>
  <c r="O67" i="166"/>
  <c r="O72" i="166" s="1"/>
  <c r="O74" i="166" s="1"/>
  <c r="N67" i="166"/>
  <c r="N72" i="166" s="1"/>
  <c r="N74" i="166" s="1"/>
  <c r="M67" i="166"/>
  <c r="M72" i="166" s="1"/>
  <c r="M74" i="166" s="1"/>
  <c r="L67" i="166"/>
  <c r="L72" i="166" s="1"/>
  <c r="L74" i="166" s="1"/>
  <c r="K67" i="166"/>
  <c r="J67" i="166"/>
  <c r="I67" i="166"/>
  <c r="I72" i="166" s="1"/>
  <c r="I74" i="166" s="1"/>
  <c r="H67" i="166"/>
  <c r="H72" i="166" s="1"/>
  <c r="H74" i="166" s="1"/>
  <c r="G67" i="166"/>
  <c r="G72" i="166" s="1"/>
  <c r="G74" i="166" s="1"/>
  <c r="F67" i="166"/>
  <c r="F72" i="166" s="1"/>
  <c r="F74" i="166" s="1"/>
  <c r="E67" i="166"/>
  <c r="E72" i="166" s="1"/>
  <c r="E74" i="166" s="1"/>
  <c r="D67" i="166"/>
  <c r="D72" i="166" s="1"/>
  <c r="D74" i="166" s="1"/>
  <c r="C67" i="166"/>
  <c r="B67" i="166"/>
  <c r="W66" i="166"/>
  <c r="W65" i="166"/>
  <c r="W64" i="166"/>
  <c r="W63" i="166"/>
  <c r="W62" i="166"/>
  <c r="W61" i="166"/>
  <c r="W60" i="166"/>
  <c r="T50" i="166"/>
  <c r="S50" i="166"/>
  <c r="R50" i="166"/>
  <c r="Q50" i="166"/>
  <c r="P50" i="166"/>
  <c r="O50" i="166"/>
  <c r="G50" i="166"/>
  <c r="F50" i="166"/>
  <c r="E50" i="166"/>
  <c r="D50" i="166"/>
  <c r="C50" i="166"/>
  <c r="B50" i="166"/>
  <c r="T49" i="166"/>
  <c r="S49" i="166"/>
  <c r="R49" i="166"/>
  <c r="Q49" i="166"/>
  <c r="P49" i="166"/>
  <c r="O49" i="166"/>
  <c r="G49" i="166"/>
  <c r="F49" i="166"/>
  <c r="E49" i="166"/>
  <c r="D49" i="166"/>
  <c r="C49" i="166"/>
  <c r="B49" i="166"/>
  <c r="U48" i="166"/>
  <c r="H48" i="166"/>
  <c r="T46" i="166"/>
  <c r="T51" i="166" s="1"/>
  <c r="T53" i="166" s="1"/>
  <c r="S46" i="166"/>
  <c r="S51" i="166" s="1"/>
  <c r="S53" i="166" s="1"/>
  <c r="R46" i="166"/>
  <c r="R51" i="166" s="1"/>
  <c r="R53" i="166" s="1"/>
  <c r="Q46" i="166"/>
  <c r="Q51" i="166" s="1"/>
  <c r="Q53" i="166" s="1"/>
  <c r="P46" i="166"/>
  <c r="P51" i="166" s="1"/>
  <c r="P53" i="166" s="1"/>
  <c r="O46" i="166"/>
  <c r="G46" i="166"/>
  <c r="G51" i="166" s="1"/>
  <c r="G53" i="166" s="1"/>
  <c r="F46" i="166"/>
  <c r="F51" i="166" s="1"/>
  <c r="F53" i="166" s="1"/>
  <c r="E46" i="166"/>
  <c r="E51" i="166" s="1"/>
  <c r="E53" i="166" s="1"/>
  <c r="D46" i="166"/>
  <c r="D51" i="166" s="1"/>
  <c r="D53" i="166" s="1"/>
  <c r="C46" i="166"/>
  <c r="C51" i="166" s="1"/>
  <c r="C53" i="166" s="1"/>
  <c r="B46" i="166"/>
  <c r="U45" i="166"/>
  <c r="H45" i="166"/>
  <c r="U44" i="166"/>
  <c r="H44" i="166"/>
  <c r="U43" i="166"/>
  <c r="H43" i="166"/>
  <c r="U42" i="166"/>
  <c r="H42" i="166"/>
  <c r="U41" i="166"/>
  <c r="H41" i="166"/>
  <c r="U40" i="166"/>
  <c r="H40" i="166"/>
  <c r="U39" i="166"/>
  <c r="H39" i="166"/>
  <c r="V29" i="166"/>
  <c r="U29" i="166"/>
  <c r="T29" i="166"/>
  <c r="S29" i="166"/>
  <c r="R29" i="166"/>
  <c r="Q29" i="166"/>
  <c r="P29" i="166"/>
  <c r="O29" i="166"/>
  <c r="N29" i="166"/>
  <c r="M29" i="166"/>
  <c r="L29" i="166"/>
  <c r="K29" i="166"/>
  <c r="J29" i="166"/>
  <c r="I29" i="166"/>
  <c r="H29" i="166"/>
  <c r="G29" i="166"/>
  <c r="F29" i="166"/>
  <c r="E29" i="166"/>
  <c r="D29" i="166"/>
  <c r="C29" i="166"/>
  <c r="B29" i="166"/>
  <c r="V28" i="166"/>
  <c r="U28" i="166"/>
  <c r="T28" i="166"/>
  <c r="S28" i="166"/>
  <c r="R28" i="166"/>
  <c r="Q28" i="166"/>
  <c r="P28" i="166"/>
  <c r="O28" i="166"/>
  <c r="N28" i="166"/>
  <c r="M28" i="166"/>
  <c r="L28" i="166"/>
  <c r="K28" i="166"/>
  <c r="J28" i="166"/>
  <c r="I28" i="166"/>
  <c r="H28" i="166"/>
  <c r="G28" i="166"/>
  <c r="F28" i="166"/>
  <c r="E28" i="166"/>
  <c r="D28" i="166"/>
  <c r="C28" i="166"/>
  <c r="B28" i="166"/>
  <c r="W27" i="166"/>
  <c r="V25" i="166"/>
  <c r="V30" i="166" s="1"/>
  <c r="V32" i="166" s="1"/>
  <c r="U25" i="166"/>
  <c r="U30" i="166" s="1"/>
  <c r="U32" i="166" s="1"/>
  <c r="T25" i="166"/>
  <c r="T30" i="166" s="1"/>
  <c r="T32" i="166" s="1"/>
  <c r="S25" i="166"/>
  <c r="R25" i="166"/>
  <c r="Q25" i="166"/>
  <c r="P25" i="166"/>
  <c r="O25" i="166"/>
  <c r="O30" i="166" s="1"/>
  <c r="O32" i="166" s="1"/>
  <c r="N25" i="166"/>
  <c r="N30" i="166" s="1"/>
  <c r="N32" i="166" s="1"/>
  <c r="M25" i="166"/>
  <c r="M30" i="166" s="1"/>
  <c r="M32" i="166" s="1"/>
  <c r="L25" i="166"/>
  <c r="L30" i="166" s="1"/>
  <c r="L32" i="166" s="1"/>
  <c r="K25" i="166"/>
  <c r="K30" i="166" s="1"/>
  <c r="K32" i="166" s="1"/>
  <c r="J25" i="166"/>
  <c r="I25" i="166"/>
  <c r="H25" i="166"/>
  <c r="H30" i="166" s="1"/>
  <c r="H32" i="166" s="1"/>
  <c r="G25" i="166"/>
  <c r="G30" i="166" s="1"/>
  <c r="G32" i="166" s="1"/>
  <c r="F25" i="166"/>
  <c r="F30" i="166" s="1"/>
  <c r="F32" i="166" s="1"/>
  <c r="E25" i="166"/>
  <c r="E30" i="166" s="1"/>
  <c r="E32" i="166" s="1"/>
  <c r="D25" i="166"/>
  <c r="D30" i="166" s="1"/>
  <c r="D32" i="166" s="1"/>
  <c r="C25" i="166"/>
  <c r="B25" i="166"/>
  <c r="W24" i="166"/>
  <c r="W23" i="166"/>
  <c r="W22" i="166"/>
  <c r="W21" i="166"/>
  <c r="W20" i="166"/>
  <c r="W19" i="166"/>
  <c r="W18" i="166"/>
  <c r="T73" i="166" l="1"/>
  <c r="L73" i="167"/>
  <c r="R52" i="166"/>
  <c r="S52" i="166"/>
  <c r="W67" i="166"/>
  <c r="W70" i="166" s="1"/>
  <c r="N73" i="166"/>
  <c r="G31" i="166"/>
  <c r="U46" i="166"/>
  <c r="U47" i="166" s="1"/>
  <c r="J31" i="166"/>
  <c r="U73" i="166"/>
  <c r="D31" i="166"/>
  <c r="T31" i="166"/>
  <c r="E31" i="166"/>
  <c r="U31" i="166"/>
  <c r="H73" i="166"/>
  <c r="F31" i="166"/>
  <c r="D52" i="166"/>
  <c r="P31" i="166"/>
  <c r="G52" i="166"/>
  <c r="J73" i="166"/>
  <c r="P73" i="166"/>
  <c r="V31" i="166"/>
  <c r="E73" i="166"/>
  <c r="Q73" i="166"/>
  <c r="C52" i="166"/>
  <c r="B52" i="166"/>
  <c r="I31" i="166"/>
  <c r="N31" i="166"/>
  <c r="N73" i="167"/>
  <c r="H73" i="167"/>
  <c r="E73" i="167"/>
  <c r="M73" i="167"/>
  <c r="U73" i="167"/>
  <c r="M31" i="167"/>
  <c r="D52" i="167"/>
  <c r="U31" i="167"/>
  <c r="L31" i="167"/>
  <c r="G51" i="167"/>
  <c r="G53" i="167" s="1"/>
  <c r="H46" i="167"/>
  <c r="H49" i="167" s="1"/>
  <c r="C52" i="167"/>
  <c r="E52" i="167"/>
  <c r="C31" i="167"/>
  <c r="S31" i="167"/>
  <c r="D31" i="167"/>
  <c r="T31" i="167"/>
  <c r="E31" i="167"/>
  <c r="N31" i="167"/>
  <c r="W67" i="167"/>
  <c r="W68" i="167" s="1"/>
  <c r="B73" i="167"/>
  <c r="R73" i="167"/>
  <c r="C73" i="167"/>
  <c r="S73" i="167"/>
  <c r="D73" i="167"/>
  <c r="T73" i="167"/>
  <c r="F73" i="167"/>
  <c r="V73" i="167"/>
  <c r="G73" i="167"/>
  <c r="I73" i="167"/>
  <c r="L72" i="167"/>
  <c r="L74" i="167" s="1"/>
  <c r="J73" i="167"/>
  <c r="M72" i="167"/>
  <c r="M74" i="167" s="1"/>
  <c r="K73" i="167"/>
  <c r="N72" i="167"/>
  <c r="N74" i="167" s="1"/>
  <c r="Q73" i="167"/>
  <c r="R52" i="167"/>
  <c r="S52" i="167"/>
  <c r="O52" i="167"/>
  <c r="T52" i="167"/>
  <c r="P52" i="167"/>
  <c r="B52" i="167"/>
  <c r="D51" i="167"/>
  <c r="D53" i="167" s="1"/>
  <c r="C51" i="167"/>
  <c r="C53" i="167" s="1"/>
  <c r="E51" i="167"/>
  <c r="E53" i="167" s="1"/>
  <c r="F52" i="167"/>
  <c r="G52" i="167"/>
  <c r="W25" i="167"/>
  <c r="W26" i="167" s="1"/>
  <c r="C30" i="167"/>
  <c r="C32" i="167" s="1"/>
  <c r="H31" i="167"/>
  <c r="E30" i="167"/>
  <c r="E32" i="167" s="1"/>
  <c r="I31" i="167"/>
  <c r="J31" i="167"/>
  <c r="K31" i="167"/>
  <c r="D30" i="167"/>
  <c r="D32" i="167" s="1"/>
  <c r="S30" i="167"/>
  <c r="S32" i="167" s="1"/>
  <c r="T30" i="167"/>
  <c r="T32" i="167" s="1"/>
  <c r="O31" i="167"/>
  <c r="Q31" i="167"/>
  <c r="B31" i="167"/>
  <c r="R31" i="167"/>
  <c r="P31" i="167"/>
  <c r="O73" i="167"/>
  <c r="E72" i="167"/>
  <c r="E74" i="167" s="1"/>
  <c r="U72" i="167"/>
  <c r="U74" i="167" s="1"/>
  <c r="P73" i="167"/>
  <c r="G31" i="167"/>
  <c r="U46" i="167"/>
  <c r="V31" i="167"/>
  <c r="F51" i="167"/>
  <c r="F53" i="167" s="1"/>
  <c r="Q52" i="167"/>
  <c r="F31" i="167"/>
  <c r="O31" i="166"/>
  <c r="W25" i="166"/>
  <c r="W26" i="166" s="1"/>
  <c r="T52" i="166"/>
  <c r="M73" i="166"/>
  <c r="Q31" i="166"/>
  <c r="R31" i="166"/>
  <c r="C31" i="166"/>
  <c r="S31" i="166"/>
  <c r="E52" i="166"/>
  <c r="I30" i="166"/>
  <c r="I32" i="166" s="1"/>
  <c r="F52" i="166"/>
  <c r="F73" i="166"/>
  <c r="V73" i="166"/>
  <c r="K73" i="166"/>
  <c r="B31" i="166"/>
  <c r="B73" i="166"/>
  <c r="R73" i="166"/>
  <c r="P30" i="166"/>
  <c r="P32" i="166" s="1"/>
  <c r="C73" i="166"/>
  <c r="S73" i="166"/>
  <c r="L31" i="166"/>
  <c r="Q30" i="166"/>
  <c r="Q32" i="166" s="1"/>
  <c r="P52" i="166"/>
  <c r="I73" i="166"/>
  <c r="H46" i="166"/>
  <c r="H47" i="166" s="1"/>
  <c r="O52" i="166"/>
  <c r="H31" i="166"/>
  <c r="M31" i="166"/>
  <c r="Q52" i="166"/>
  <c r="W68" i="166"/>
  <c r="D73" i="166"/>
  <c r="O51" i="166"/>
  <c r="O53" i="166" s="1"/>
  <c r="B72" i="166"/>
  <c r="B74" i="166" s="1"/>
  <c r="J72" i="166"/>
  <c r="J74" i="166" s="1"/>
  <c r="R72" i="166"/>
  <c r="R74" i="166" s="1"/>
  <c r="C72" i="166"/>
  <c r="C74" i="166" s="1"/>
  <c r="K72" i="166"/>
  <c r="K74" i="166" s="1"/>
  <c r="S72" i="166"/>
  <c r="S74" i="166" s="1"/>
  <c r="K31" i="166"/>
  <c r="L73" i="166"/>
  <c r="B30" i="166"/>
  <c r="B32" i="166" s="1"/>
  <c r="J30" i="166"/>
  <c r="J32" i="166" s="1"/>
  <c r="R30" i="166"/>
  <c r="R32" i="166" s="1"/>
  <c r="C30" i="166"/>
  <c r="C32" i="166" s="1"/>
  <c r="S30" i="166"/>
  <c r="S32" i="166" s="1"/>
  <c r="B51" i="166"/>
  <c r="B53" i="166" s="1"/>
  <c r="G73" i="166"/>
  <c r="O73" i="166"/>
  <c r="B50" i="165"/>
  <c r="V71" i="165"/>
  <c r="U71" i="165"/>
  <c r="T71" i="165"/>
  <c r="S71" i="165"/>
  <c r="R71" i="165"/>
  <c r="Q71" i="165"/>
  <c r="P71" i="165"/>
  <c r="O71" i="165"/>
  <c r="N71" i="165"/>
  <c r="M71" i="165"/>
  <c r="L71" i="165"/>
  <c r="K71" i="165"/>
  <c r="J71" i="165"/>
  <c r="I71" i="165"/>
  <c r="H71" i="165"/>
  <c r="G71" i="165"/>
  <c r="F71" i="165"/>
  <c r="E71" i="165"/>
  <c r="D71" i="165"/>
  <c r="C71" i="165"/>
  <c r="B71" i="165"/>
  <c r="V70" i="165"/>
  <c r="U70" i="165"/>
  <c r="T70" i="165"/>
  <c r="S70" i="165"/>
  <c r="R70" i="165"/>
  <c r="Q70" i="165"/>
  <c r="P70" i="165"/>
  <c r="O70" i="165"/>
  <c r="N70" i="165"/>
  <c r="M70" i="165"/>
  <c r="L70" i="165"/>
  <c r="K70" i="165"/>
  <c r="J70" i="165"/>
  <c r="I70" i="165"/>
  <c r="H70" i="165"/>
  <c r="G70" i="165"/>
  <c r="F70" i="165"/>
  <c r="E70" i="165"/>
  <c r="D70" i="165"/>
  <c r="C70" i="165"/>
  <c r="B70" i="165"/>
  <c r="W69" i="165"/>
  <c r="V67" i="165"/>
  <c r="V72" i="165" s="1"/>
  <c r="V74" i="165" s="1"/>
  <c r="U67" i="165"/>
  <c r="U72" i="165" s="1"/>
  <c r="U74" i="165" s="1"/>
  <c r="T67" i="165"/>
  <c r="T72" i="165" s="1"/>
  <c r="T74" i="165" s="1"/>
  <c r="S67" i="165"/>
  <c r="S72" i="165" s="1"/>
  <c r="S74" i="165" s="1"/>
  <c r="R67" i="165"/>
  <c r="R72" i="165" s="1"/>
  <c r="R74" i="165" s="1"/>
  <c r="Q67" i="165"/>
  <c r="Q72" i="165" s="1"/>
  <c r="Q74" i="165" s="1"/>
  <c r="P67" i="165"/>
  <c r="P72" i="165" s="1"/>
  <c r="P74" i="165" s="1"/>
  <c r="O67" i="165"/>
  <c r="O72" i="165" s="1"/>
  <c r="O74" i="165" s="1"/>
  <c r="N67" i="165"/>
  <c r="N72" i="165" s="1"/>
  <c r="N74" i="165" s="1"/>
  <c r="M67" i="165"/>
  <c r="M72" i="165" s="1"/>
  <c r="M74" i="165" s="1"/>
  <c r="L67" i="165"/>
  <c r="L72" i="165" s="1"/>
  <c r="L74" i="165" s="1"/>
  <c r="K67" i="165"/>
  <c r="K72" i="165" s="1"/>
  <c r="K74" i="165" s="1"/>
  <c r="J67" i="165"/>
  <c r="J72" i="165" s="1"/>
  <c r="J74" i="165" s="1"/>
  <c r="I67" i="165"/>
  <c r="I72" i="165" s="1"/>
  <c r="I74" i="165" s="1"/>
  <c r="H67" i="165"/>
  <c r="H72" i="165" s="1"/>
  <c r="H74" i="165" s="1"/>
  <c r="G67" i="165"/>
  <c r="G72" i="165" s="1"/>
  <c r="G74" i="165" s="1"/>
  <c r="F67" i="165"/>
  <c r="F72" i="165" s="1"/>
  <c r="F74" i="165" s="1"/>
  <c r="E67" i="165"/>
  <c r="E72" i="165" s="1"/>
  <c r="E74" i="165" s="1"/>
  <c r="D67" i="165"/>
  <c r="D72" i="165" s="1"/>
  <c r="D74" i="165" s="1"/>
  <c r="C67" i="165"/>
  <c r="C72" i="165" s="1"/>
  <c r="C74" i="165" s="1"/>
  <c r="B67" i="165"/>
  <c r="B72" i="165" s="1"/>
  <c r="B74" i="165" s="1"/>
  <c r="W66" i="165"/>
  <c r="W65" i="165"/>
  <c r="W64" i="165"/>
  <c r="W63" i="165"/>
  <c r="W62" i="165"/>
  <c r="W61" i="165"/>
  <c r="W60" i="165"/>
  <c r="T50" i="165"/>
  <c r="S50" i="165"/>
  <c r="R50" i="165"/>
  <c r="Q50" i="165"/>
  <c r="P50" i="165"/>
  <c r="O50" i="165"/>
  <c r="G50" i="165"/>
  <c r="F50" i="165"/>
  <c r="E50" i="165"/>
  <c r="D50" i="165"/>
  <c r="C50" i="165"/>
  <c r="T49" i="165"/>
  <c r="S49" i="165"/>
  <c r="R49" i="165"/>
  <c r="Q49" i="165"/>
  <c r="P49" i="165"/>
  <c r="O49" i="165"/>
  <c r="G49" i="165"/>
  <c r="F49" i="165"/>
  <c r="E49" i="165"/>
  <c r="D49" i="165"/>
  <c r="C49" i="165"/>
  <c r="B49" i="165"/>
  <c r="U48" i="165"/>
  <c r="H48" i="165"/>
  <c r="T46" i="165"/>
  <c r="T51" i="165" s="1"/>
  <c r="T53" i="165" s="1"/>
  <c r="S46" i="165"/>
  <c r="S51" i="165" s="1"/>
  <c r="S53" i="165" s="1"/>
  <c r="R46" i="165"/>
  <c r="R51" i="165" s="1"/>
  <c r="R53" i="165" s="1"/>
  <c r="Q46" i="165"/>
  <c r="Q51" i="165" s="1"/>
  <c r="Q53" i="165" s="1"/>
  <c r="P46" i="165"/>
  <c r="P51" i="165" s="1"/>
  <c r="P53" i="165" s="1"/>
  <c r="O46" i="165"/>
  <c r="O51" i="165" s="1"/>
  <c r="O53" i="165" s="1"/>
  <c r="G46" i="165"/>
  <c r="G51" i="165" s="1"/>
  <c r="G53" i="165" s="1"/>
  <c r="F46" i="165"/>
  <c r="F51" i="165" s="1"/>
  <c r="F53" i="165" s="1"/>
  <c r="E46" i="165"/>
  <c r="E51" i="165" s="1"/>
  <c r="E53" i="165" s="1"/>
  <c r="D46" i="165"/>
  <c r="D51" i="165" s="1"/>
  <c r="D53" i="165" s="1"/>
  <c r="C46" i="165"/>
  <c r="C51" i="165" s="1"/>
  <c r="C53" i="165" s="1"/>
  <c r="B46" i="165"/>
  <c r="B51" i="165" s="1"/>
  <c r="U45" i="165"/>
  <c r="H45" i="165"/>
  <c r="U44" i="165"/>
  <c r="H44" i="165"/>
  <c r="U43" i="165"/>
  <c r="H43" i="165"/>
  <c r="U42" i="165"/>
  <c r="H42" i="165"/>
  <c r="U41" i="165"/>
  <c r="H41" i="165"/>
  <c r="U40" i="165"/>
  <c r="H40" i="165"/>
  <c r="U39" i="165"/>
  <c r="H39" i="165"/>
  <c r="V29" i="165"/>
  <c r="U29" i="165"/>
  <c r="T29" i="165"/>
  <c r="S29" i="165"/>
  <c r="R29" i="165"/>
  <c r="Q29" i="165"/>
  <c r="P29" i="165"/>
  <c r="O29" i="165"/>
  <c r="N29" i="165"/>
  <c r="M29" i="165"/>
  <c r="L29" i="165"/>
  <c r="K29" i="165"/>
  <c r="J29" i="165"/>
  <c r="I29" i="165"/>
  <c r="H29" i="165"/>
  <c r="G29" i="165"/>
  <c r="F29" i="165"/>
  <c r="E29" i="165"/>
  <c r="D29" i="165"/>
  <c r="C29" i="165"/>
  <c r="V28" i="165"/>
  <c r="U28" i="165"/>
  <c r="T28" i="165"/>
  <c r="S28" i="165"/>
  <c r="R28" i="165"/>
  <c r="Q28" i="165"/>
  <c r="P28" i="165"/>
  <c r="O28" i="165"/>
  <c r="N28" i="165"/>
  <c r="M28" i="165"/>
  <c r="L28" i="165"/>
  <c r="K28" i="165"/>
  <c r="J28" i="165"/>
  <c r="I28" i="165"/>
  <c r="H28" i="165"/>
  <c r="G28" i="165"/>
  <c r="F28" i="165"/>
  <c r="E28" i="165"/>
  <c r="D28" i="165"/>
  <c r="C28" i="165"/>
  <c r="W27" i="165"/>
  <c r="V25" i="165"/>
  <c r="V30" i="165" s="1"/>
  <c r="V32" i="165" s="1"/>
  <c r="U25" i="165"/>
  <c r="U30" i="165" s="1"/>
  <c r="U32" i="165" s="1"/>
  <c r="T25" i="165"/>
  <c r="T30" i="165" s="1"/>
  <c r="T32" i="165" s="1"/>
  <c r="S25" i="165"/>
  <c r="S30" i="165" s="1"/>
  <c r="S32" i="165" s="1"/>
  <c r="R25" i="165"/>
  <c r="R30" i="165" s="1"/>
  <c r="R32" i="165" s="1"/>
  <c r="Q25" i="165"/>
  <c r="Q30" i="165" s="1"/>
  <c r="Q32" i="165" s="1"/>
  <c r="P25" i="165"/>
  <c r="P30" i="165" s="1"/>
  <c r="P32" i="165" s="1"/>
  <c r="O25" i="165"/>
  <c r="O30" i="165" s="1"/>
  <c r="O32" i="165" s="1"/>
  <c r="N25" i="165"/>
  <c r="N30" i="165" s="1"/>
  <c r="N32" i="165" s="1"/>
  <c r="M25" i="165"/>
  <c r="M30" i="165" s="1"/>
  <c r="M32" i="165" s="1"/>
  <c r="L25" i="165"/>
  <c r="L30" i="165" s="1"/>
  <c r="L32" i="165" s="1"/>
  <c r="K25" i="165"/>
  <c r="K30" i="165" s="1"/>
  <c r="K32" i="165" s="1"/>
  <c r="J25" i="165"/>
  <c r="J30" i="165" s="1"/>
  <c r="J32" i="165" s="1"/>
  <c r="I25" i="165"/>
  <c r="I30" i="165" s="1"/>
  <c r="I32" i="165" s="1"/>
  <c r="H25" i="165"/>
  <c r="H30" i="165" s="1"/>
  <c r="H32" i="165" s="1"/>
  <c r="G25" i="165"/>
  <c r="G30" i="165" s="1"/>
  <c r="G32" i="165" s="1"/>
  <c r="F25" i="165"/>
  <c r="F30" i="165" s="1"/>
  <c r="F32" i="165" s="1"/>
  <c r="E25" i="165"/>
  <c r="E30" i="165" s="1"/>
  <c r="E32" i="165" s="1"/>
  <c r="D25" i="165"/>
  <c r="D30" i="165" s="1"/>
  <c r="D32" i="165" s="1"/>
  <c r="C25" i="165"/>
  <c r="C30" i="165" s="1"/>
  <c r="C32" i="165" s="1"/>
  <c r="B25" i="165"/>
  <c r="B30" i="165" s="1"/>
  <c r="B32" i="165" s="1"/>
  <c r="W24" i="165"/>
  <c r="W23" i="165"/>
  <c r="W22" i="165"/>
  <c r="W21" i="165"/>
  <c r="W20" i="165"/>
  <c r="W19" i="165"/>
  <c r="W18" i="165"/>
  <c r="U49" i="166" l="1"/>
  <c r="W28" i="166"/>
  <c r="H49" i="166"/>
  <c r="H47" i="167"/>
  <c r="W70" i="167"/>
  <c r="W28" i="167"/>
  <c r="U47" i="167"/>
  <c r="U49" i="167"/>
  <c r="Q52" i="165"/>
  <c r="R52" i="165"/>
  <c r="S73" i="165"/>
  <c r="F73" i="165"/>
  <c r="G73" i="165"/>
  <c r="R73" i="165"/>
  <c r="S31" i="165"/>
  <c r="P31" i="165"/>
  <c r="U46" i="165"/>
  <c r="U47" i="165" s="1"/>
  <c r="S52" i="165"/>
  <c r="T73" i="165"/>
  <c r="K31" i="165"/>
  <c r="I73" i="165"/>
  <c r="J73" i="165"/>
  <c r="O52" i="165"/>
  <c r="K73" i="165"/>
  <c r="T52" i="165"/>
  <c r="H73" i="165"/>
  <c r="U73" i="165"/>
  <c r="V73" i="165"/>
  <c r="P52" i="165"/>
  <c r="W67" i="165"/>
  <c r="W70" i="165" s="1"/>
  <c r="G52" i="165"/>
  <c r="F52" i="165"/>
  <c r="E52" i="165"/>
  <c r="B52" i="165"/>
  <c r="V31" i="165"/>
  <c r="U31" i="165"/>
  <c r="T31" i="165"/>
  <c r="N31" i="165"/>
  <c r="M31" i="165"/>
  <c r="L31" i="165"/>
  <c r="J31" i="165"/>
  <c r="I31" i="165"/>
  <c r="H31" i="165"/>
  <c r="G31" i="165"/>
  <c r="W25" i="165"/>
  <c r="W26" i="165" s="1"/>
  <c r="B53" i="165"/>
  <c r="B28" i="165"/>
  <c r="B29" i="165"/>
  <c r="B31" i="165" s="1"/>
  <c r="C31" i="165"/>
  <c r="D31" i="165"/>
  <c r="E31" i="165"/>
  <c r="B73" i="165"/>
  <c r="N73" i="165"/>
  <c r="H46" i="165"/>
  <c r="C73" i="165"/>
  <c r="O73" i="165"/>
  <c r="Q31" i="165"/>
  <c r="C52" i="165"/>
  <c r="D73" i="165"/>
  <c r="P73" i="165"/>
  <c r="L73" i="165"/>
  <c r="F31" i="165"/>
  <c r="R31" i="165"/>
  <c r="O31" i="165"/>
  <c r="D52" i="165"/>
  <c r="E73" i="165"/>
  <c r="Q73" i="165"/>
  <c r="M73" i="165"/>
  <c r="B49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B71" i="164"/>
  <c r="V70" i="164"/>
  <c r="U70" i="164"/>
  <c r="T70" i="164"/>
  <c r="S70" i="164"/>
  <c r="R70" i="164"/>
  <c r="Q70" i="164"/>
  <c r="P70" i="164"/>
  <c r="O70" i="164"/>
  <c r="N70" i="164"/>
  <c r="M70" i="164"/>
  <c r="L70" i="164"/>
  <c r="K70" i="164"/>
  <c r="J70" i="164"/>
  <c r="I70" i="164"/>
  <c r="H70" i="164"/>
  <c r="G70" i="164"/>
  <c r="F70" i="164"/>
  <c r="E70" i="164"/>
  <c r="D70" i="164"/>
  <c r="C70" i="164"/>
  <c r="B70" i="164"/>
  <c r="W69" i="164"/>
  <c r="V67" i="164"/>
  <c r="V72" i="164" s="1"/>
  <c r="V74" i="164" s="1"/>
  <c r="U67" i="164"/>
  <c r="T67" i="164"/>
  <c r="T72" i="164" s="1"/>
  <c r="T74" i="164" s="1"/>
  <c r="S67" i="164"/>
  <c r="S72" i="164" s="1"/>
  <c r="S74" i="164" s="1"/>
  <c r="R67" i="164"/>
  <c r="R72" i="164" s="1"/>
  <c r="R74" i="164" s="1"/>
  <c r="Q67" i="164"/>
  <c r="Q72" i="164" s="1"/>
  <c r="Q74" i="164" s="1"/>
  <c r="P67" i="164"/>
  <c r="P72" i="164" s="1"/>
  <c r="P74" i="164" s="1"/>
  <c r="O67" i="164"/>
  <c r="O72" i="164" s="1"/>
  <c r="O74" i="164" s="1"/>
  <c r="N67" i="164"/>
  <c r="N72" i="164" s="1"/>
  <c r="N74" i="164" s="1"/>
  <c r="M67" i="164"/>
  <c r="M72" i="164" s="1"/>
  <c r="M74" i="164" s="1"/>
  <c r="L67" i="164"/>
  <c r="L72" i="164" s="1"/>
  <c r="L74" i="164" s="1"/>
  <c r="K67" i="164"/>
  <c r="K72" i="164" s="1"/>
  <c r="K74" i="164" s="1"/>
  <c r="J67" i="164"/>
  <c r="J72" i="164" s="1"/>
  <c r="J74" i="164" s="1"/>
  <c r="I67" i="164"/>
  <c r="H67" i="164"/>
  <c r="H72" i="164" s="1"/>
  <c r="H74" i="164" s="1"/>
  <c r="G67" i="164"/>
  <c r="G72" i="164" s="1"/>
  <c r="G74" i="164" s="1"/>
  <c r="F67" i="164"/>
  <c r="F72" i="164" s="1"/>
  <c r="F74" i="164" s="1"/>
  <c r="E67" i="164"/>
  <c r="E72" i="164" s="1"/>
  <c r="E74" i="164" s="1"/>
  <c r="D67" i="164"/>
  <c r="D72" i="164" s="1"/>
  <c r="D74" i="164" s="1"/>
  <c r="C67" i="164"/>
  <c r="C72" i="164" s="1"/>
  <c r="C74" i="164" s="1"/>
  <c r="B67" i="164"/>
  <c r="B72" i="164" s="1"/>
  <c r="B74" i="164" s="1"/>
  <c r="W66" i="164"/>
  <c r="W65" i="164"/>
  <c r="W64" i="164"/>
  <c r="W63" i="164"/>
  <c r="W62" i="164"/>
  <c r="W61" i="164"/>
  <c r="W60" i="164"/>
  <c r="T50" i="164"/>
  <c r="S50" i="164"/>
  <c r="R50" i="164"/>
  <c r="Q50" i="164"/>
  <c r="P50" i="164"/>
  <c r="O50" i="164"/>
  <c r="G50" i="164"/>
  <c r="F50" i="164"/>
  <c r="E50" i="164"/>
  <c r="D50" i="164"/>
  <c r="C50" i="164"/>
  <c r="T49" i="164"/>
  <c r="S49" i="164"/>
  <c r="R49" i="164"/>
  <c r="Q49" i="164"/>
  <c r="P49" i="164"/>
  <c r="O49" i="164"/>
  <c r="G49" i="164"/>
  <c r="F49" i="164"/>
  <c r="E49" i="164"/>
  <c r="D49" i="164"/>
  <c r="C49" i="164"/>
  <c r="U48" i="164"/>
  <c r="H48" i="164"/>
  <c r="T46" i="164"/>
  <c r="T51" i="164" s="1"/>
  <c r="T53" i="164" s="1"/>
  <c r="S46" i="164"/>
  <c r="S51" i="164" s="1"/>
  <c r="S53" i="164" s="1"/>
  <c r="R46" i="164"/>
  <c r="R51" i="164" s="1"/>
  <c r="R53" i="164" s="1"/>
  <c r="Q46" i="164"/>
  <c r="Q51" i="164" s="1"/>
  <c r="Q53" i="164" s="1"/>
  <c r="P46" i="164"/>
  <c r="P51" i="164" s="1"/>
  <c r="P53" i="164" s="1"/>
  <c r="O46" i="164"/>
  <c r="O51" i="164" s="1"/>
  <c r="O53" i="164" s="1"/>
  <c r="G46" i="164"/>
  <c r="G51" i="164" s="1"/>
  <c r="G53" i="164" s="1"/>
  <c r="F46" i="164"/>
  <c r="F51" i="164" s="1"/>
  <c r="F53" i="164" s="1"/>
  <c r="E46" i="164"/>
  <c r="E51" i="164" s="1"/>
  <c r="E53" i="164" s="1"/>
  <c r="D46" i="164"/>
  <c r="D51" i="164" s="1"/>
  <c r="D53" i="164" s="1"/>
  <c r="C46" i="164"/>
  <c r="C51" i="164" s="1"/>
  <c r="C53" i="164" s="1"/>
  <c r="B46" i="164"/>
  <c r="U45" i="164"/>
  <c r="H45" i="164"/>
  <c r="U44" i="164"/>
  <c r="H44" i="164"/>
  <c r="U43" i="164"/>
  <c r="H43" i="164"/>
  <c r="U42" i="164"/>
  <c r="H42" i="164"/>
  <c r="U41" i="164"/>
  <c r="H41" i="164"/>
  <c r="U40" i="164"/>
  <c r="H40" i="164"/>
  <c r="U39" i="164"/>
  <c r="H39" i="164"/>
  <c r="V29" i="164"/>
  <c r="U29" i="164"/>
  <c r="T29" i="164"/>
  <c r="S29" i="164"/>
  <c r="R29" i="164"/>
  <c r="Q29" i="164"/>
  <c r="P29" i="164"/>
  <c r="O29" i="164"/>
  <c r="N29" i="164"/>
  <c r="M29" i="164"/>
  <c r="L29" i="164"/>
  <c r="K29" i="164"/>
  <c r="J29" i="164"/>
  <c r="I29" i="164"/>
  <c r="H29" i="164"/>
  <c r="G29" i="164"/>
  <c r="F29" i="164"/>
  <c r="E29" i="164"/>
  <c r="D29" i="164"/>
  <c r="C29" i="164"/>
  <c r="B29" i="164"/>
  <c r="V28" i="164"/>
  <c r="U28" i="164"/>
  <c r="T28" i="164"/>
  <c r="S28" i="164"/>
  <c r="R28" i="164"/>
  <c r="Q28" i="164"/>
  <c r="P28" i="164"/>
  <c r="O28" i="164"/>
  <c r="N28" i="164"/>
  <c r="M28" i="164"/>
  <c r="L28" i="164"/>
  <c r="K28" i="164"/>
  <c r="J28" i="164"/>
  <c r="I28" i="164"/>
  <c r="H28" i="164"/>
  <c r="G28" i="164"/>
  <c r="F28" i="164"/>
  <c r="E28" i="164"/>
  <c r="D28" i="164"/>
  <c r="C28" i="164"/>
  <c r="B28" i="164"/>
  <c r="W27" i="164"/>
  <c r="V25" i="164"/>
  <c r="V30" i="164" s="1"/>
  <c r="V32" i="164" s="1"/>
  <c r="U25" i="164"/>
  <c r="U30" i="164" s="1"/>
  <c r="U32" i="164" s="1"/>
  <c r="T25" i="164"/>
  <c r="T30" i="164" s="1"/>
  <c r="T32" i="164" s="1"/>
  <c r="S25" i="164"/>
  <c r="S30" i="164" s="1"/>
  <c r="S32" i="164" s="1"/>
  <c r="R25" i="164"/>
  <c r="R30" i="164" s="1"/>
  <c r="R32" i="164" s="1"/>
  <c r="Q25" i="164"/>
  <c r="Q30" i="164" s="1"/>
  <c r="Q32" i="164" s="1"/>
  <c r="P25" i="164"/>
  <c r="P30" i="164" s="1"/>
  <c r="P32" i="164" s="1"/>
  <c r="O25" i="164"/>
  <c r="O30" i="164" s="1"/>
  <c r="O32" i="164" s="1"/>
  <c r="N25" i="164"/>
  <c r="N30" i="164" s="1"/>
  <c r="N32" i="164" s="1"/>
  <c r="M25" i="164"/>
  <c r="M30" i="164" s="1"/>
  <c r="M32" i="164" s="1"/>
  <c r="L25" i="164"/>
  <c r="L30" i="164" s="1"/>
  <c r="L32" i="164" s="1"/>
  <c r="K25" i="164"/>
  <c r="K30" i="164" s="1"/>
  <c r="K32" i="164" s="1"/>
  <c r="J25" i="164"/>
  <c r="J30" i="164" s="1"/>
  <c r="J32" i="164" s="1"/>
  <c r="I25" i="164"/>
  <c r="I30" i="164" s="1"/>
  <c r="I32" i="164" s="1"/>
  <c r="H25" i="164"/>
  <c r="H30" i="164" s="1"/>
  <c r="H32" i="164" s="1"/>
  <c r="G25" i="164"/>
  <c r="G30" i="164" s="1"/>
  <c r="G32" i="164" s="1"/>
  <c r="F25" i="164"/>
  <c r="F30" i="164" s="1"/>
  <c r="F32" i="164" s="1"/>
  <c r="E25" i="164"/>
  <c r="E30" i="164" s="1"/>
  <c r="E32" i="164" s="1"/>
  <c r="D25" i="164"/>
  <c r="D30" i="164" s="1"/>
  <c r="D32" i="164" s="1"/>
  <c r="C25" i="164"/>
  <c r="C30" i="164" s="1"/>
  <c r="C32" i="164" s="1"/>
  <c r="B25" i="164"/>
  <c r="B30" i="164" s="1"/>
  <c r="B32" i="164" s="1"/>
  <c r="W24" i="164"/>
  <c r="W23" i="164"/>
  <c r="W22" i="164"/>
  <c r="W21" i="164"/>
  <c r="W20" i="164"/>
  <c r="W19" i="164"/>
  <c r="W18" i="164"/>
  <c r="F73" i="164" l="1"/>
  <c r="E73" i="164"/>
  <c r="Q73" i="164"/>
  <c r="R73" i="164"/>
  <c r="U49" i="165"/>
  <c r="W68" i="165"/>
  <c r="L73" i="164"/>
  <c r="M73" i="164"/>
  <c r="E31" i="164"/>
  <c r="B73" i="164"/>
  <c r="N73" i="164"/>
  <c r="F31" i="164"/>
  <c r="R31" i="164"/>
  <c r="C73" i="164"/>
  <c r="O73" i="164"/>
  <c r="D73" i="164"/>
  <c r="P73" i="164"/>
  <c r="W28" i="165"/>
  <c r="H49" i="165"/>
  <c r="H47" i="165"/>
  <c r="G52" i="164"/>
  <c r="O52" i="164"/>
  <c r="P52" i="164"/>
  <c r="G73" i="164"/>
  <c r="S73" i="164"/>
  <c r="T73" i="164"/>
  <c r="J31" i="164"/>
  <c r="V31" i="164"/>
  <c r="J73" i="164"/>
  <c r="V73" i="164"/>
  <c r="W67" i="164"/>
  <c r="W70" i="164" s="1"/>
  <c r="D31" i="164"/>
  <c r="K73" i="164"/>
  <c r="F52" i="164"/>
  <c r="E52" i="164"/>
  <c r="D52" i="164"/>
  <c r="C52" i="164"/>
  <c r="U31" i="164"/>
  <c r="T31" i="164"/>
  <c r="S31" i="164"/>
  <c r="Q31" i="164"/>
  <c r="P31" i="164"/>
  <c r="M31" i="164"/>
  <c r="L31" i="164"/>
  <c r="K31" i="164"/>
  <c r="I31" i="164"/>
  <c r="H31" i="164"/>
  <c r="G31" i="164"/>
  <c r="W25" i="164"/>
  <c r="W26" i="164" s="1"/>
  <c r="B50" i="164"/>
  <c r="B52" i="164" s="1"/>
  <c r="I72" i="164"/>
  <c r="I74" i="164" s="1"/>
  <c r="I73" i="164"/>
  <c r="U72" i="164"/>
  <c r="U74" i="164" s="1"/>
  <c r="U73" i="164"/>
  <c r="B51" i="164"/>
  <c r="B53" i="164" s="1"/>
  <c r="H46" i="164"/>
  <c r="R52" i="164"/>
  <c r="U46" i="164"/>
  <c r="Q52" i="164"/>
  <c r="S52" i="164"/>
  <c r="T52" i="164"/>
  <c r="H73" i="164"/>
  <c r="B31" i="164"/>
  <c r="N31" i="164"/>
  <c r="C31" i="164"/>
  <c r="O31" i="164"/>
  <c r="D46" i="163"/>
  <c r="W68" i="164" l="1"/>
  <c r="W28" i="164"/>
  <c r="U49" i="164"/>
  <c r="U47" i="164"/>
  <c r="H47" i="164"/>
  <c r="H49" i="164"/>
  <c r="V71" i="163"/>
  <c r="U71" i="163"/>
  <c r="T71" i="163"/>
  <c r="S71" i="163"/>
  <c r="R71" i="163"/>
  <c r="Q71" i="163"/>
  <c r="P71" i="163"/>
  <c r="O71" i="163"/>
  <c r="N71" i="163"/>
  <c r="M71" i="163"/>
  <c r="L71" i="163"/>
  <c r="K71" i="163"/>
  <c r="J71" i="163"/>
  <c r="I71" i="163"/>
  <c r="H71" i="163"/>
  <c r="G71" i="163"/>
  <c r="F71" i="163"/>
  <c r="E71" i="163"/>
  <c r="D71" i="163"/>
  <c r="C71" i="163"/>
  <c r="B71" i="163"/>
  <c r="V70" i="163"/>
  <c r="U70" i="163"/>
  <c r="T70" i="163"/>
  <c r="S70" i="163"/>
  <c r="R70" i="163"/>
  <c r="Q70" i="163"/>
  <c r="P70" i="163"/>
  <c r="O70" i="163"/>
  <c r="N70" i="163"/>
  <c r="M70" i="163"/>
  <c r="L70" i="163"/>
  <c r="K70" i="163"/>
  <c r="J70" i="163"/>
  <c r="I70" i="163"/>
  <c r="H70" i="163"/>
  <c r="G70" i="163"/>
  <c r="F70" i="163"/>
  <c r="E70" i="163"/>
  <c r="D70" i="163"/>
  <c r="C70" i="163"/>
  <c r="B70" i="163"/>
  <c r="W69" i="163"/>
  <c r="V67" i="163"/>
  <c r="V72" i="163" s="1"/>
  <c r="V74" i="163" s="1"/>
  <c r="U67" i="163"/>
  <c r="U72" i="163" s="1"/>
  <c r="U74" i="163" s="1"/>
  <c r="T67" i="163"/>
  <c r="T72" i="163" s="1"/>
  <c r="T74" i="163" s="1"/>
  <c r="S67" i="163"/>
  <c r="S72" i="163" s="1"/>
  <c r="S74" i="163" s="1"/>
  <c r="R67" i="163"/>
  <c r="R72" i="163" s="1"/>
  <c r="R74" i="163" s="1"/>
  <c r="Q67" i="163"/>
  <c r="Q72" i="163" s="1"/>
  <c r="Q74" i="163" s="1"/>
  <c r="P67" i="163"/>
  <c r="P72" i="163" s="1"/>
  <c r="P74" i="163" s="1"/>
  <c r="O67" i="163"/>
  <c r="O72" i="163" s="1"/>
  <c r="O74" i="163" s="1"/>
  <c r="N67" i="163"/>
  <c r="N72" i="163" s="1"/>
  <c r="N74" i="163" s="1"/>
  <c r="M67" i="163"/>
  <c r="M72" i="163" s="1"/>
  <c r="M74" i="163" s="1"/>
  <c r="L67" i="163"/>
  <c r="L72" i="163" s="1"/>
  <c r="L74" i="163" s="1"/>
  <c r="K67" i="163"/>
  <c r="K72" i="163" s="1"/>
  <c r="K74" i="163" s="1"/>
  <c r="J67" i="163"/>
  <c r="J72" i="163" s="1"/>
  <c r="J74" i="163" s="1"/>
  <c r="I67" i="163"/>
  <c r="I72" i="163" s="1"/>
  <c r="I74" i="163" s="1"/>
  <c r="H67" i="163"/>
  <c r="H72" i="163" s="1"/>
  <c r="H74" i="163" s="1"/>
  <c r="G67" i="163"/>
  <c r="G72" i="163" s="1"/>
  <c r="G74" i="163" s="1"/>
  <c r="F67" i="163"/>
  <c r="F72" i="163" s="1"/>
  <c r="F74" i="163" s="1"/>
  <c r="E67" i="163"/>
  <c r="E72" i="163" s="1"/>
  <c r="E74" i="163" s="1"/>
  <c r="D67" i="163"/>
  <c r="D72" i="163" s="1"/>
  <c r="D74" i="163" s="1"/>
  <c r="C67" i="163"/>
  <c r="C72" i="163" s="1"/>
  <c r="C74" i="163" s="1"/>
  <c r="B67" i="163"/>
  <c r="B72" i="163" s="1"/>
  <c r="B74" i="163" s="1"/>
  <c r="W66" i="163"/>
  <c r="W65" i="163"/>
  <c r="W64" i="163"/>
  <c r="W63" i="163"/>
  <c r="W62" i="163"/>
  <c r="W61" i="163"/>
  <c r="W60" i="163"/>
  <c r="T50" i="163"/>
  <c r="S50" i="163"/>
  <c r="R50" i="163"/>
  <c r="Q50" i="163"/>
  <c r="P50" i="163"/>
  <c r="O50" i="163"/>
  <c r="G50" i="163"/>
  <c r="F50" i="163"/>
  <c r="E50" i="163"/>
  <c r="D50" i="163"/>
  <c r="C50" i="163"/>
  <c r="B50" i="163"/>
  <c r="T49" i="163"/>
  <c r="S49" i="163"/>
  <c r="R49" i="163"/>
  <c r="Q49" i="163"/>
  <c r="P49" i="163"/>
  <c r="O49" i="163"/>
  <c r="G49" i="163"/>
  <c r="F49" i="163"/>
  <c r="E49" i="163"/>
  <c r="D49" i="163"/>
  <c r="C49" i="163"/>
  <c r="B49" i="163"/>
  <c r="U48" i="163"/>
  <c r="H48" i="163"/>
  <c r="T46" i="163"/>
  <c r="T51" i="163" s="1"/>
  <c r="T53" i="163" s="1"/>
  <c r="S46" i="163"/>
  <c r="S51" i="163" s="1"/>
  <c r="S53" i="163" s="1"/>
  <c r="R46" i="163"/>
  <c r="R51" i="163" s="1"/>
  <c r="R53" i="163" s="1"/>
  <c r="Q46" i="163"/>
  <c r="Q51" i="163" s="1"/>
  <c r="Q53" i="163" s="1"/>
  <c r="P46" i="163"/>
  <c r="P51" i="163" s="1"/>
  <c r="P53" i="163" s="1"/>
  <c r="O46" i="163"/>
  <c r="G46" i="163"/>
  <c r="G51" i="163" s="1"/>
  <c r="G53" i="163" s="1"/>
  <c r="F46" i="163"/>
  <c r="F51" i="163" s="1"/>
  <c r="F53" i="163" s="1"/>
  <c r="E46" i="163"/>
  <c r="E51" i="163" s="1"/>
  <c r="E53" i="163" s="1"/>
  <c r="D51" i="163"/>
  <c r="D53" i="163" s="1"/>
  <c r="C46" i="163"/>
  <c r="B46" i="163"/>
  <c r="B51" i="163" s="1"/>
  <c r="B53" i="163" s="1"/>
  <c r="U45" i="163"/>
  <c r="H45" i="163"/>
  <c r="U44" i="163"/>
  <c r="H44" i="163"/>
  <c r="U43" i="163"/>
  <c r="H43" i="163"/>
  <c r="U42" i="163"/>
  <c r="H42" i="163"/>
  <c r="U41" i="163"/>
  <c r="H41" i="163"/>
  <c r="U40" i="163"/>
  <c r="H40" i="163"/>
  <c r="U39" i="163"/>
  <c r="H39" i="163"/>
  <c r="V29" i="163"/>
  <c r="U29" i="163"/>
  <c r="T29" i="163"/>
  <c r="S29" i="163"/>
  <c r="R29" i="163"/>
  <c r="Q29" i="163"/>
  <c r="P29" i="163"/>
  <c r="O29" i="163"/>
  <c r="N29" i="163"/>
  <c r="M29" i="163"/>
  <c r="L29" i="163"/>
  <c r="K29" i="163"/>
  <c r="J29" i="163"/>
  <c r="I29" i="163"/>
  <c r="H29" i="163"/>
  <c r="G29" i="163"/>
  <c r="F29" i="163"/>
  <c r="E29" i="163"/>
  <c r="D29" i="163"/>
  <c r="C29" i="163"/>
  <c r="B29" i="163"/>
  <c r="V28" i="163"/>
  <c r="U28" i="163"/>
  <c r="T28" i="163"/>
  <c r="S28" i="163"/>
  <c r="R28" i="163"/>
  <c r="Q28" i="163"/>
  <c r="P28" i="163"/>
  <c r="O28" i="163"/>
  <c r="N28" i="163"/>
  <c r="M28" i="163"/>
  <c r="L28" i="163"/>
  <c r="K28" i="163"/>
  <c r="J28" i="163"/>
  <c r="I28" i="163"/>
  <c r="H28" i="163"/>
  <c r="G28" i="163"/>
  <c r="F28" i="163"/>
  <c r="E28" i="163"/>
  <c r="D28" i="163"/>
  <c r="C28" i="163"/>
  <c r="B28" i="163"/>
  <c r="W27" i="163"/>
  <c r="V25" i="163"/>
  <c r="V30" i="163" s="1"/>
  <c r="V32" i="163" s="1"/>
  <c r="U25" i="163"/>
  <c r="U30" i="163" s="1"/>
  <c r="U32" i="163" s="1"/>
  <c r="T25" i="163"/>
  <c r="T30" i="163" s="1"/>
  <c r="T32" i="163" s="1"/>
  <c r="S25" i="163"/>
  <c r="S30" i="163" s="1"/>
  <c r="S32" i="163" s="1"/>
  <c r="R25" i="163"/>
  <c r="R30" i="163" s="1"/>
  <c r="R32" i="163" s="1"/>
  <c r="Q25" i="163"/>
  <c r="Q30" i="163" s="1"/>
  <c r="Q32" i="163" s="1"/>
  <c r="P25" i="163"/>
  <c r="P30" i="163" s="1"/>
  <c r="P32" i="163" s="1"/>
  <c r="O25" i="163"/>
  <c r="O30" i="163" s="1"/>
  <c r="O32" i="163" s="1"/>
  <c r="N25" i="163"/>
  <c r="N30" i="163" s="1"/>
  <c r="N32" i="163" s="1"/>
  <c r="M25" i="163"/>
  <c r="M30" i="163" s="1"/>
  <c r="M32" i="163" s="1"/>
  <c r="L25" i="163"/>
  <c r="L30" i="163" s="1"/>
  <c r="L32" i="163" s="1"/>
  <c r="K25" i="163"/>
  <c r="K30" i="163" s="1"/>
  <c r="K32" i="163" s="1"/>
  <c r="J25" i="163"/>
  <c r="J30" i="163" s="1"/>
  <c r="J32" i="163" s="1"/>
  <c r="I25" i="163"/>
  <c r="I30" i="163" s="1"/>
  <c r="I32" i="163" s="1"/>
  <c r="H25" i="163"/>
  <c r="H30" i="163" s="1"/>
  <c r="H32" i="163" s="1"/>
  <c r="G25" i="163"/>
  <c r="G30" i="163" s="1"/>
  <c r="G32" i="163" s="1"/>
  <c r="F25" i="163"/>
  <c r="F30" i="163" s="1"/>
  <c r="F32" i="163" s="1"/>
  <c r="E25" i="163"/>
  <c r="E30" i="163" s="1"/>
  <c r="E32" i="163" s="1"/>
  <c r="D25" i="163"/>
  <c r="D30" i="163" s="1"/>
  <c r="D32" i="163" s="1"/>
  <c r="C25" i="163"/>
  <c r="C30" i="163" s="1"/>
  <c r="C32" i="163" s="1"/>
  <c r="B25" i="163"/>
  <c r="B30" i="163" s="1"/>
  <c r="B32" i="163" s="1"/>
  <c r="W24" i="163"/>
  <c r="W23" i="163"/>
  <c r="W22" i="163"/>
  <c r="W21" i="163"/>
  <c r="W20" i="163"/>
  <c r="W19" i="163"/>
  <c r="W18" i="163"/>
  <c r="I31" i="163" l="1"/>
  <c r="U46" i="163"/>
  <c r="U49" i="163" s="1"/>
  <c r="D73" i="163"/>
  <c r="P73" i="163"/>
  <c r="H31" i="163"/>
  <c r="Q73" i="163"/>
  <c r="J31" i="163"/>
  <c r="E73" i="163"/>
  <c r="T52" i="163"/>
  <c r="S73" i="163"/>
  <c r="T73" i="163"/>
  <c r="O51" i="163"/>
  <c r="O53" i="163" s="1"/>
  <c r="I73" i="163"/>
  <c r="U73" i="163"/>
  <c r="G73" i="163"/>
  <c r="R31" i="163"/>
  <c r="H73" i="163"/>
  <c r="J73" i="163"/>
  <c r="S52" i="163"/>
  <c r="C73" i="163"/>
  <c r="O73" i="163"/>
  <c r="F73" i="163"/>
  <c r="R73" i="163"/>
  <c r="O52" i="163"/>
  <c r="K73" i="163"/>
  <c r="W67" i="163"/>
  <c r="W70" i="163" s="1"/>
  <c r="Q52" i="163"/>
  <c r="F52" i="163"/>
  <c r="V73" i="163"/>
  <c r="N31" i="163"/>
  <c r="P52" i="163"/>
  <c r="Q31" i="163"/>
  <c r="R52" i="163"/>
  <c r="B73" i="163"/>
  <c r="N73" i="163"/>
  <c r="G52" i="163"/>
  <c r="E52" i="163"/>
  <c r="D52" i="163"/>
  <c r="C52" i="163"/>
  <c r="H46" i="163"/>
  <c r="H49" i="163" s="1"/>
  <c r="B52" i="163"/>
  <c r="V31" i="163"/>
  <c r="U31" i="163"/>
  <c r="T31" i="163"/>
  <c r="S31" i="163"/>
  <c r="M31" i="163"/>
  <c r="L31" i="163"/>
  <c r="K31" i="163"/>
  <c r="G31" i="163"/>
  <c r="W25" i="163"/>
  <c r="W26" i="163" s="1"/>
  <c r="F31" i="163"/>
  <c r="E31" i="163"/>
  <c r="B31" i="163"/>
  <c r="C31" i="163"/>
  <c r="O31" i="163"/>
  <c r="L73" i="163"/>
  <c r="D31" i="163"/>
  <c r="P31" i="163"/>
  <c r="M73" i="163"/>
  <c r="C51" i="163"/>
  <c r="C53" i="163" s="1"/>
  <c r="B37" i="162"/>
  <c r="B38" i="162" s="1"/>
  <c r="B39" i="162" s="1"/>
  <c r="B40" i="162" s="1"/>
  <c r="B41" i="162" s="1"/>
  <c r="B42" i="162" s="1"/>
  <c r="B43" i="162" s="1"/>
  <c r="M24" i="162"/>
  <c r="M25" i="162" s="1"/>
  <c r="M26" i="162" s="1"/>
  <c r="M27" i="162" s="1"/>
  <c r="M28" i="162" s="1"/>
  <c r="M29" i="162" s="1"/>
  <c r="M30" i="162" s="1"/>
  <c r="B24" i="162"/>
  <c r="B25" i="162" s="1"/>
  <c r="B26" i="162" s="1"/>
  <c r="B27" i="162" s="1"/>
  <c r="B28" i="162" s="1"/>
  <c r="B29" i="162" s="1"/>
  <c r="B30" i="162" s="1"/>
  <c r="B12" i="162"/>
  <c r="B13" i="162" s="1"/>
  <c r="B14" i="162" s="1"/>
  <c r="B15" i="162" s="1"/>
  <c r="B16" i="162" s="1"/>
  <c r="B17" i="162" s="1"/>
  <c r="U47" i="163" l="1"/>
  <c r="W68" i="163"/>
  <c r="H47" i="163"/>
  <c r="W28" i="163"/>
  <c r="V71" i="161" l="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B71" i="161"/>
  <c r="V70" i="161"/>
  <c r="U70" i="161"/>
  <c r="T70" i="161"/>
  <c r="S70" i="161"/>
  <c r="R70" i="161"/>
  <c r="Q70" i="161"/>
  <c r="P70" i="161"/>
  <c r="O70" i="161"/>
  <c r="N70" i="161"/>
  <c r="M70" i="161"/>
  <c r="L70" i="161"/>
  <c r="K70" i="161"/>
  <c r="J70" i="161"/>
  <c r="I70" i="161"/>
  <c r="H70" i="161"/>
  <c r="G70" i="161"/>
  <c r="F70" i="161"/>
  <c r="E70" i="161"/>
  <c r="D70" i="161"/>
  <c r="C70" i="161"/>
  <c r="B70" i="161"/>
  <c r="W69" i="161"/>
  <c r="V67" i="161"/>
  <c r="U67" i="161"/>
  <c r="T67" i="161"/>
  <c r="S67" i="161"/>
  <c r="S72" i="161" s="1"/>
  <c r="S74" i="161" s="1"/>
  <c r="R67" i="161"/>
  <c r="R72" i="161" s="1"/>
  <c r="R74" i="161" s="1"/>
  <c r="Q67" i="161"/>
  <c r="Q72" i="161" s="1"/>
  <c r="Q74" i="161" s="1"/>
  <c r="P67" i="161"/>
  <c r="P72" i="161" s="1"/>
  <c r="P74" i="161" s="1"/>
  <c r="O67" i="161"/>
  <c r="O72" i="161" s="1"/>
  <c r="O74" i="161" s="1"/>
  <c r="N67" i="161"/>
  <c r="N72" i="161" s="1"/>
  <c r="N74" i="161" s="1"/>
  <c r="M67" i="161"/>
  <c r="M72" i="161" s="1"/>
  <c r="M74" i="161" s="1"/>
  <c r="L67" i="161"/>
  <c r="L72" i="161" s="1"/>
  <c r="L74" i="161" s="1"/>
  <c r="K67" i="161"/>
  <c r="K72" i="161" s="1"/>
  <c r="K74" i="161" s="1"/>
  <c r="J67" i="161"/>
  <c r="I67" i="161"/>
  <c r="H67" i="161"/>
  <c r="G67" i="161"/>
  <c r="F67" i="161"/>
  <c r="F72" i="161" s="1"/>
  <c r="F74" i="161" s="1"/>
  <c r="E67" i="161"/>
  <c r="E72" i="161" s="1"/>
  <c r="E74" i="161" s="1"/>
  <c r="D67" i="161"/>
  <c r="D72" i="161" s="1"/>
  <c r="D74" i="161" s="1"/>
  <c r="C67" i="161"/>
  <c r="C72" i="161" s="1"/>
  <c r="C74" i="161" s="1"/>
  <c r="B67" i="161"/>
  <c r="B72" i="161" s="1"/>
  <c r="B74" i="161" s="1"/>
  <c r="W66" i="161"/>
  <c r="W65" i="161"/>
  <c r="W64" i="161"/>
  <c r="W63" i="161"/>
  <c r="W62" i="161"/>
  <c r="W61" i="161"/>
  <c r="W60" i="161"/>
  <c r="T50" i="161"/>
  <c r="S50" i="161"/>
  <c r="R50" i="161"/>
  <c r="Q50" i="161"/>
  <c r="P50" i="161"/>
  <c r="O50" i="161"/>
  <c r="G50" i="161"/>
  <c r="F50" i="161"/>
  <c r="E50" i="161"/>
  <c r="D50" i="161"/>
  <c r="C50" i="161"/>
  <c r="B50" i="161"/>
  <c r="T49" i="161"/>
  <c r="S49" i="161"/>
  <c r="R49" i="161"/>
  <c r="Q49" i="161"/>
  <c r="P49" i="161"/>
  <c r="O49" i="161"/>
  <c r="G49" i="161"/>
  <c r="F49" i="161"/>
  <c r="E49" i="161"/>
  <c r="D49" i="161"/>
  <c r="C49" i="161"/>
  <c r="B49" i="161"/>
  <c r="U48" i="161"/>
  <c r="H48" i="161"/>
  <c r="T46" i="161"/>
  <c r="T51" i="161" s="1"/>
  <c r="T53" i="161" s="1"/>
  <c r="S46" i="161"/>
  <c r="S51" i="161" s="1"/>
  <c r="S53" i="161" s="1"/>
  <c r="R46" i="161"/>
  <c r="R51" i="161" s="1"/>
  <c r="R53" i="161" s="1"/>
  <c r="Q46" i="161"/>
  <c r="Q51" i="161" s="1"/>
  <c r="Q53" i="161" s="1"/>
  <c r="P46" i="161"/>
  <c r="P51" i="161" s="1"/>
  <c r="P53" i="161" s="1"/>
  <c r="O46" i="161"/>
  <c r="O51" i="161" s="1"/>
  <c r="O53" i="161" s="1"/>
  <c r="G46" i="161"/>
  <c r="G51" i="161" s="1"/>
  <c r="G53" i="161" s="1"/>
  <c r="F46" i="161"/>
  <c r="F51" i="161" s="1"/>
  <c r="F53" i="161" s="1"/>
  <c r="E46" i="161"/>
  <c r="E51" i="161" s="1"/>
  <c r="E53" i="161" s="1"/>
  <c r="D46" i="161"/>
  <c r="D51" i="161" s="1"/>
  <c r="D53" i="161" s="1"/>
  <c r="C46" i="161"/>
  <c r="C51" i="161" s="1"/>
  <c r="C53" i="161" s="1"/>
  <c r="B46" i="161"/>
  <c r="B51" i="161" s="1"/>
  <c r="B53" i="161" s="1"/>
  <c r="U45" i="161"/>
  <c r="H45" i="161"/>
  <c r="U44" i="161"/>
  <c r="H44" i="161"/>
  <c r="U43" i="161"/>
  <c r="H43" i="161"/>
  <c r="U42" i="161"/>
  <c r="H42" i="161"/>
  <c r="U41" i="161"/>
  <c r="H41" i="161"/>
  <c r="U40" i="161"/>
  <c r="H40" i="161"/>
  <c r="U39" i="161"/>
  <c r="H39" i="161"/>
  <c r="V29" i="161"/>
  <c r="U29" i="161"/>
  <c r="T29" i="161"/>
  <c r="S29" i="161"/>
  <c r="R29" i="161"/>
  <c r="Q29" i="161"/>
  <c r="P29" i="161"/>
  <c r="O29" i="161"/>
  <c r="N29" i="161"/>
  <c r="M29" i="161"/>
  <c r="L29" i="161"/>
  <c r="K29" i="161"/>
  <c r="J29" i="161"/>
  <c r="I29" i="161"/>
  <c r="H29" i="161"/>
  <c r="G29" i="161"/>
  <c r="F29" i="161"/>
  <c r="E29" i="161"/>
  <c r="D29" i="161"/>
  <c r="C29" i="161"/>
  <c r="B29" i="161"/>
  <c r="V28" i="161"/>
  <c r="U28" i="161"/>
  <c r="T28" i="161"/>
  <c r="S28" i="161"/>
  <c r="R28" i="161"/>
  <c r="Q28" i="161"/>
  <c r="P28" i="161"/>
  <c r="O28" i="161"/>
  <c r="N28" i="161"/>
  <c r="M28" i="161"/>
  <c r="L28" i="161"/>
  <c r="K28" i="161"/>
  <c r="J28" i="161"/>
  <c r="I28" i="161"/>
  <c r="H28" i="161"/>
  <c r="G28" i="161"/>
  <c r="F28" i="161"/>
  <c r="E28" i="161"/>
  <c r="D28" i="161"/>
  <c r="C28" i="161"/>
  <c r="B28" i="161"/>
  <c r="W27" i="161"/>
  <c r="V25" i="161"/>
  <c r="V30" i="161" s="1"/>
  <c r="V32" i="161" s="1"/>
  <c r="U25" i="161"/>
  <c r="U30" i="161" s="1"/>
  <c r="U32" i="161" s="1"/>
  <c r="T25" i="161"/>
  <c r="T30" i="161" s="1"/>
  <c r="T32" i="161" s="1"/>
  <c r="S25" i="161"/>
  <c r="S30" i="161" s="1"/>
  <c r="S32" i="161" s="1"/>
  <c r="R25" i="161"/>
  <c r="R30" i="161" s="1"/>
  <c r="R32" i="161" s="1"/>
  <c r="Q25" i="161"/>
  <c r="Q30" i="161" s="1"/>
  <c r="Q32" i="161" s="1"/>
  <c r="P25" i="161"/>
  <c r="P30" i="161" s="1"/>
  <c r="P32" i="161" s="1"/>
  <c r="O25" i="161"/>
  <c r="O30" i="161" s="1"/>
  <c r="O32" i="161" s="1"/>
  <c r="N25" i="161"/>
  <c r="N30" i="161" s="1"/>
  <c r="N32" i="161" s="1"/>
  <c r="M25" i="161"/>
  <c r="M30" i="161" s="1"/>
  <c r="M32" i="161" s="1"/>
  <c r="L25" i="161"/>
  <c r="L30" i="161" s="1"/>
  <c r="L32" i="161" s="1"/>
  <c r="K25" i="161"/>
  <c r="K30" i="161" s="1"/>
  <c r="K32" i="161" s="1"/>
  <c r="J25" i="161"/>
  <c r="J30" i="161" s="1"/>
  <c r="J32" i="161" s="1"/>
  <c r="I25" i="161"/>
  <c r="I30" i="161" s="1"/>
  <c r="I32" i="161" s="1"/>
  <c r="H25" i="161"/>
  <c r="H30" i="161" s="1"/>
  <c r="H32" i="161" s="1"/>
  <c r="G25" i="161"/>
  <c r="G30" i="161" s="1"/>
  <c r="G32" i="161" s="1"/>
  <c r="F25" i="161"/>
  <c r="F30" i="161" s="1"/>
  <c r="F32" i="161" s="1"/>
  <c r="E25" i="161"/>
  <c r="E30" i="161" s="1"/>
  <c r="E32" i="161" s="1"/>
  <c r="D25" i="161"/>
  <c r="D30" i="161" s="1"/>
  <c r="D32" i="161" s="1"/>
  <c r="C25" i="161"/>
  <c r="B25" i="161"/>
  <c r="B30" i="161" s="1"/>
  <c r="B32" i="161" s="1"/>
  <c r="W24" i="161"/>
  <c r="W23" i="161"/>
  <c r="W22" i="161"/>
  <c r="W21" i="161"/>
  <c r="W20" i="161"/>
  <c r="W19" i="161"/>
  <c r="W18" i="161"/>
  <c r="T73" i="161" l="1"/>
  <c r="J73" i="161"/>
  <c r="H31" i="161"/>
  <c r="T31" i="161"/>
  <c r="V73" i="161"/>
  <c r="U73" i="161"/>
  <c r="S31" i="161"/>
  <c r="G73" i="161"/>
  <c r="H73" i="161"/>
  <c r="I73" i="161"/>
  <c r="R31" i="161"/>
  <c r="M73" i="161"/>
  <c r="B73" i="161"/>
  <c r="N73" i="161"/>
  <c r="U72" i="161"/>
  <c r="U74" i="161" s="1"/>
  <c r="T72" i="161"/>
  <c r="T74" i="161" s="1"/>
  <c r="C73" i="161"/>
  <c r="O73" i="161"/>
  <c r="V72" i="161"/>
  <c r="V74" i="161" s="1"/>
  <c r="D73" i="161"/>
  <c r="P73" i="161"/>
  <c r="P52" i="161"/>
  <c r="O52" i="161"/>
  <c r="V31" i="161"/>
  <c r="Q31" i="161"/>
  <c r="P31" i="161"/>
  <c r="G31" i="161"/>
  <c r="F31" i="161"/>
  <c r="E31" i="161"/>
  <c r="D31" i="161"/>
  <c r="M31" i="161"/>
  <c r="J31" i="161"/>
  <c r="K31" i="161"/>
  <c r="L31" i="161"/>
  <c r="C31" i="161"/>
  <c r="G72" i="161"/>
  <c r="G74" i="161" s="1"/>
  <c r="H72" i="161"/>
  <c r="H74" i="161" s="1"/>
  <c r="I72" i="161"/>
  <c r="I74" i="161" s="1"/>
  <c r="E73" i="161"/>
  <c r="F73" i="161"/>
  <c r="W67" i="161"/>
  <c r="W68" i="161" s="1"/>
  <c r="Q73" i="161"/>
  <c r="J72" i="161"/>
  <c r="J74" i="161" s="1"/>
  <c r="S73" i="161"/>
  <c r="R73" i="161"/>
  <c r="R52" i="161"/>
  <c r="S52" i="161"/>
  <c r="Q52" i="161"/>
  <c r="T52" i="161"/>
  <c r="B52" i="161"/>
  <c r="C52" i="161"/>
  <c r="D52" i="161"/>
  <c r="E52" i="161"/>
  <c r="F52" i="161"/>
  <c r="G52" i="161"/>
  <c r="I31" i="161"/>
  <c r="W25" i="161"/>
  <c r="W26" i="161" s="1"/>
  <c r="U31" i="161"/>
  <c r="U46" i="161"/>
  <c r="N31" i="161"/>
  <c r="K73" i="161"/>
  <c r="O31" i="161"/>
  <c r="L73" i="161"/>
  <c r="H46" i="161"/>
  <c r="C30" i="161"/>
  <c r="C32" i="161" s="1"/>
  <c r="B31" i="161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B71" i="159"/>
  <c r="V70" i="159"/>
  <c r="U70" i="159"/>
  <c r="T70" i="159"/>
  <c r="S70" i="159"/>
  <c r="R70" i="159"/>
  <c r="Q70" i="159"/>
  <c r="P70" i="159"/>
  <c r="O70" i="159"/>
  <c r="N70" i="159"/>
  <c r="M70" i="159"/>
  <c r="L70" i="159"/>
  <c r="K70" i="159"/>
  <c r="J70" i="159"/>
  <c r="I70" i="159"/>
  <c r="H70" i="159"/>
  <c r="G70" i="159"/>
  <c r="F70" i="159"/>
  <c r="E70" i="159"/>
  <c r="D70" i="159"/>
  <c r="C70" i="159"/>
  <c r="B70" i="159"/>
  <c r="W69" i="159"/>
  <c r="V67" i="159"/>
  <c r="V72" i="159" s="1"/>
  <c r="V74" i="159" s="1"/>
  <c r="U67" i="159"/>
  <c r="U72" i="159" s="1"/>
  <c r="U74" i="159" s="1"/>
  <c r="T67" i="159"/>
  <c r="T72" i="159" s="1"/>
  <c r="T74" i="159" s="1"/>
  <c r="S67" i="159"/>
  <c r="S72" i="159" s="1"/>
  <c r="S74" i="159" s="1"/>
  <c r="R67" i="159"/>
  <c r="R72" i="159" s="1"/>
  <c r="R74" i="159" s="1"/>
  <c r="Q67" i="159"/>
  <c r="Q72" i="159" s="1"/>
  <c r="Q74" i="159" s="1"/>
  <c r="P67" i="159"/>
  <c r="P72" i="159" s="1"/>
  <c r="P74" i="159" s="1"/>
  <c r="O67" i="159"/>
  <c r="O72" i="159" s="1"/>
  <c r="O74" i="159" s="1"/>
  <c r="N67" i="159"/>
  <c r="N72" i="159" s="1"/>
  <c r="N74" i="159" s="1"/>
  <c r="M67" i="159"/>
  <c r="M72" i="159" s="1"/>
  <c r="M74" i="159" s="1"/>
  <c r="L67" i="159"/>
  <c r="K67" i="159"/>
  <c r="K72" i="159" s="1"/>
  <c r="K74" i="159" s="1"/>
  <c r="J67" i="159"/>
  <c r="J72" i="159" s="1"/>
  <c r="J74" i="159" s="1"/>
  <c r="I67" i="159"/>
  <c r="I72" i="159" s="1"/>
  <c r="I74" i="159" s="1"/>
  <c r="H67" i="159"/>
  <c r="H72" i="159" s="1"/>
  <c r="H74" i="159" s="1"/>
  <c r="G67" i="159"/>
  <c r="G72" i="159" s="1"/>
  <c r="G74" i="159" s="1"/>
  <c r="F67" i="159"/>
  <c r="F72" i="159" s="1"/>
  <c r="F74" i="159" s="1"/>
  <c r="E67" i="159"/>
  <c r="E72" i="159" s="1"/>
  <c r="E74" i="159" s="1"/>
  <c r="D67" i="159"/>
  <c r="D72" i="159" s="1"/>
  <c r="D74" i="159" s="1"/>
  <c r="C67" i="159"/>
  <c r="C72" i="159" s="1"/>
  <c r="C74" i="159" s="1"/>
  <c r="B67" i="159"/>
  <c r="B72" i="159" s="1"/>
  <c r="B74" i="159" s="1"/>
  <c r="W66" i="159"/>
  <c r="W65" i="159"/>
  <c r="W64" i="159"/>
  <c r="W63" i="159"/>
  <c r="W62" i="159"/>
  <c r="W61" i="159"/>
  <c r="W60" i="159"/>
  <c r="T50" i="159"/>
  <c r="S50" i="159"/>
  <c r="R50" i="159"/>
  <c r="Q50" i="159"/>
  <c r="P50" i="159"/>
  <c r="O50" i="159"/>
  <c r="G50" i="159"/>
  <c r="F50" i="159"/>
  <c r="E50" i="159"/>
  <c r="D50" i="159"/>
  <c r="C50" i="159"/>
  <c r="B50" i="159"/>
  <c r="T49" i="159"/>
  <c r="S49" i="159"/>
  <c r="R49" i="159"/>
  <c r="Q49" i="159"/>
  <c r="P49" i="159"/>
  <c r="O49" i="159"/>
  <c r="G49" i="159"/>
  <c r="F49" i="159"/>
  <c r="E49" i="159"/>
  <c r="D49" i="159"/>
  <c r="C49" i="159"/>
  <c r="B49" i="159"/>
  <c r="U48" i="159"/>
  <c r="H48" i="159"/>
  <c r="T46" i="159"/>
  <c r="T51" i="159" s="1"/>
  <c r="T53" i="159" s="1"/>
  <c r="S46" i="159"/>
  <c r="S51" i="159" s="1"/>
  <c r="S53" i="159" s="1"/>
  <c r="R46" i="159"/>
  <c r="R51" i="159" s="1"/>
  <c r="R53" i="159" s="1"/>
  <c r="Q46" i="159"/>
  <c r="Q51" i="159" s="1"/>
  <c r="Q53" i="159" s="1"/>
  <c r="P46" i="159"/>
  <c r="P51" i="159" s="1"/>
  <c r="P53" i="159" s="1"/>
  <c r="O46" i="159"/>
  <c r="O51" i="159" s="1"/>
  <c r="O53" i="159" s="1"/>
  <c r="G46" i="159"/>
  <c r="G51" i="159" s="1"/>
  <c r="G53" i="159" s="1"/>
  <c r="F46" i="159"/>
  <c r="F51" i="159" s="1"/>
  <c r="F53" i="159" s="1"/>
  <c r="E46" i="159"/>
  <c r="E51" i="159" s="1"/>
  <c r="E53" i="159" s="1"/>
  <c r="D46" i="159"/>
  <c r="D51" i="159" s="1"/>
  <c r="D53" i="159" s="1"/>
  <c r="C46" i="159"/>
  <c r="C51" i="159" s="1"/>
  <c r="C53" i="159" s="1"/>
  <c r="B46" i="159"/>
  <c r="B51" i="159" s="1"/>
  <c r="B53" i="159" s="1"/>
  <c r="U45" i="159"/>
  <c r="H45" i="159"/>
  <c r="U44" i="159"/>
  <c r="H44" i="159"/>
  <c r="U43" i="159"/>
  <c r="H43" i="159"/>
  <c r="U42" i="159"/>
  <c r="H42" i="159"/>
  <c r="U41" i="159"/>
  <c r="H41" i="159"/>
  <c r="U40" i="159"/>
  <c r="H40" i="159"/>
  <c r="U39" i="159"/>
  <c r="H39" i="159"/>
  <c r="V29" i="159"/>
  <c r="U29" i="159"/>
  <c r="T29" i="159"/>
  <c r="S29" i="159"/>
  <c r="R29" i="159"/>
  <c r="Q29" i="159"/>
  <c r="P29" i="159"/>
  <c r="O29" i="159"/>
  <c r="N29" i="159"/>
  <c r="M29" i="159"/>
  <c r="L29" i="159"/>
  <c r="K29" i="159"/>
  <c r="J29" i="159"/>
  <c r="I29" i="159"/>
  <c r="H29" i="159"/>
  <c r="G29" i="159"/>
  <c r="F29" i="159"/>
  <c r="E29" i="159"/>
  <c r="D29" i="159"/>
  <c r="C29" i="159"/>
  <c r="B29" i="159"/>
  <c r="V28" i="159"/>
  <c r="U28" i="159"/>
  <c r="T28" i="159"/>
  <c r="S28" i="159"/>
  <c r="R28" i="159"/>
  <c r="Q28" i="159"/>
  <c r="P28" i="159"/>
  <c r="O28" i="159"/>
  <c r="N28" i="159"/>
  <c r="M28" i="159"/>
  <c r="L28" i="159"/>
  <c r="K28" i="159"/>
  <c r="J28" i="159"/>
  <c r="I28" i="159"/>
  <c r="H28" i="159"/>
  <c r="G28" i="159"/>
  <c r="F28" i="159"/>
  <c r="E28" i="159"/>
  <c r="D28" i="159"/>
  <c r="C28" i="159"/>
  <c r="B28" i="159"/>
  <c r="W27" i="159"/>
  <c r="V25" i="159"/>
  <c r="V30" i="159" s="1"/>
  <c r="V32" i="159" s="1"/>
  <c r="U25" i="159"/>
  <c r="U30" i="159" s="1"/>
  <c r="U32" i="159" s="1"/>
  <c r="T25" i="159"/>
  <c r="T30" i="159" s="1"/>
  <c r="T32" i="159" s="1"/>
  <c r="S25" i="159"/>
  <c r="S30" i="159" s="1"/>
  <c r="S32" i="159" s="1"/>
  <c r="R25" i="159"/>
  <c r="R30" i="159" s="1"/>
  <c r="R32" i="159" s="1"/>
  <c r="Q25" i="159"/>
  <c r="Q30" i="159" s="1"/>
  <c r="Q32" i="159" s="1"/>
  <c r="P25" i="159"/>
  <c r="P30" i="159" s="1"/>
  <c r="P32" i="159" s="1"/>
  <c r="O25" i="159"/>
  <c r="N25" i="159"/>
  <c r="N30" i="159" s="1"/>
  <c r="N32" i="159" s="1"/>
  <c r="M25" i="159"/>
  <c r="M30" i="159" s="1"/>
  <c r="M32" i="159" s="1"/>
  <c r="L25" i="159"/>
  <c r="L30" i="159" s="1"/>
  <c r="L32" i="159" s="1"/>
  <c r="K25" i="159"/>
  <c r="K30" i="159" s="1"/>
  <c r="K32" i="159" s="1"/>
  <c r="J25" i="159"/>
  <c r="J30" i="159" s="1"/>
  <c r="J32" i="159" s="1"/>
  <c r="I25" i="159"/>
  <c r="I30" i="159" s="1"/>
  <c r="I32" i="159" s="1"/>
  <c r="H25" i="159"/>
  <c r="H30" i="159" s="1"/>
  <c r="H32" i="159" s="1"/>
  <c r="G25" i="159"/>
  <c r="G30" i="159" s="1"/>
  <c r="G32" i="159" s="1"/>
  <c r="F25" i="159"/>
  <c r="F30" i="159" s="1"/>
  <c r="F32" i="159" s="1"/>
  <c r="E25" i="159"/>
  <c r="E30" i="159" s="1"/>
  <c r="E32" i="159" s="1"/>
  <c r="D25" i="159"/>
  <c r="D30" i="159" s="1"/>
  <c r="D32" i="159" s="1"/>
  <c r="C25" i="159"/>
  <c r="B25" i="159"/>
  <c r="B30" i="159" s="1"/>
  <c r="B32" i="159" s="1"/>
  <c r="W24" i="159"/>
  <c r="W23" i="159"/>
  <c r="W22" i="159"/>
  <c r="W21" i="159"/>
  <c r="W20" i="159"/>
  <c r="W19" i="159"/>
  <c r="W18" i="159"/>
  <c r="Q73" i="159" l="1"/>
  <c r="W70" i="161"/>
  <c r="W28" i="161"/>
  <c r="H47" i="161"/>
  <c r="H49" i="161"/>
  <c r="U49" i="161"/>
  <c r="U47" i="161"/>
  <c r="R52" i="159"/>
  <c r="R73" i="159"/>
  <c r="E73" i="159"/>
  <c r="F73" i="159"/>
  <c r="R31" i="159"/>
  <c r="T52" i="159"/>
  <c r="H73" i="159"/>
  <c r="T73" i="159"/>
  <c r="S52" i="159"/>
  <c r="I73" i="159"/>
  <c r="S73" i="159"/>
  <c r="O52" i="159"/>
  <c r="Q31" i="159"/>
  <c r="N73" i="159"/>
  <c r="C73" i="159"/>
  <c r="O73" i="159"/>
  <c r="D73" i="159"/>
  <c r="P73" i="159"/>
  <c r="T31" i="159"/>
  <c r="U73" i="159"/>
  <c r="J73" i="159"/>
  <c r="V73" i="159"/>
  <c r="J31" i="159"/>
  <c r="P52" i="159"/>
  <c r="K31" i="159"/>
  <c r="M73" i="159"/>
  <c r="Q52" i="159"/>
  <c r="G73" i="159"/>
  <c r="B73" i="159"/>
  <c r="W67" i="159"/>
  <c r="W70" i="159" s="1"/>
  <c r="L73" i="159"/>
  <c r="S31" i="159"/>
  <c r="P31" i="159"/>
  <c r="I31" i="159"/>
  <c r="G52" i="159"/>
  <c r="F52" i="159"/>
  <c r="E52" i="159"/>
  <c r="D52" i="159"/>
  <c r="C52" i="159"/>
  <c r="B52" i="159"/>
  <c r="V31" i="159"/>
  <c r="U31" i="159"/>
  <c r="M31" i="159"/>
  <c r="L31" i="159"/>
  <c r="H31" i="159"/>
  <c r="G31" i="159"/>
  <c r="F31" i="159"/>
  <c r="E31" i="159"/>
  <c r="D31" i="159"/>
  <c r="W25" i="159"/>
  <c r="W28" i="159" s="1"/>
  <c r="C31" i="159"/>
  <c r="O31" i="159"/>
  <c r="N31" i="159"/>
  <c r="H46" i="159"/>
  <c r="C30" i="159"/>
  <c r="C32" i="159" s="1"/>
  <c r="O30" i="159"/>
  <c r="O32" i="159" s="1"/>
  <c r="L72" i="159"/>
  <c r="L74" i="159" s="1"/>
  <c r="U46" i="159"/>
  <c r="B31" i="159"/>
  <c r="K73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B71" i="158"/>
  <c r="V70" i="158"/>
  <c r="U70" i="158"/>
  <c r="T70" i="158"/>
  <c r="S70" i="158"/>
  <c r="R70" i="158"/>
  <c r="Q70" i="158"/>
  <c r="P70" i="158"/>
  <c r="O70" i="158"/>
  <c r="N70" i="158"/>
  <c r="M70" i="158"/>
  <c r="L70" i="158"/>
  <c r="K70" i="158"/>
  <c r="J70" i="158"/>
  <c r="I70" i="158"/>
  <c r="H70" i="158"/>
  <c r="G70" i="158"/>
  <c r="F70" i="158"/>
  <c r="E70" i="158"/>
  <c r="D70" i="158"/>
  <c r="C70" i="158"/>
  <c r="B70" i="158"/>
  <c r="W69" i="158"/>
  <c r="V67" i="158"/>
  <c r="V72" i="158" s="1"/>
  <c r="V74" i="158" s="1"/>
  <c r="U67" i="158"/>
  <c r="U72" i="158" s="1"/>
  <c r="U74" i="158" s="1"/>
  <c r="T67" i="158"/>
  <c r="S67" i="158"/>
  <c r="S72" i="158" s="1"/>
  <c r="S74" i="158" s="1"/>
  <c r="R67" i="158"/>
  <c r="R72" i="158" s="1"/>
  <c r="R74" i="158" s="1"/>
  <c r="Q67" i="158"/>
  <c r="Q72" i="158" s="1"/>
  <c r="Q74" i="158" s="1"/>
  <c r="P67" i="158"/>
  <c r="P72" i="158" s="1"/>
  <c r="P74" i="158" s="1"/>
  <c r="O67" i="158"/>
  <c r="O72" i="158" s="1"/>
  <c r="O74" i="158" s="1"/>
  <c r="N67" i="158"/>
  <c r="N72" i="158" s="1"/>
  <c r="N74" i="158" s="1"/>
  <c r="M67" i="158"/>
  <c r="M72" i="158" s="1"/>
  <c r="M74" i="158" s="1"/>
  <c r="L67" i="158"/>
  <c r="L72" i="158" s="1"/>
  <c r="L74" i="158" s="1"/>
  <c r="K67" i="158"/>
  <c r="K72" i="158" s="1"/>
  <c r="K74" i="158" s="1"/>
  <c r="J67" i="158"/>
  <c r="J72" i="158" s="1"/>
  <c r="J74" i="158" s="1"/>
  <c r="I67" i="158"/>
  <c r="I72" i="158" s="1"/>
  <c r="I74" i="158" s="1"/>
  <c r="H67" i="158"/>
  <c r="H72" i="158" s="1"/>
  <c r="H74" i="158" s="1"/>
  <c r="G67" i="158"/>
  <c r="G72" i="158" s="1"/>
  <c r="G74" i="158" s="1"/>
  <c r="F67" i="158"/>
  <c r="F72" i="158" s="1"/>
  <c r="F74" i="158" s="1"/>
  <c r="E67" i="158"/>
  <c r="E72" i="158" s="1"/>
  <c r="E74" i="158" s="1"/>
  <c r="D67" i="158"/>
  <c r="C67" i="158"/>
  <c r="C72" i="158" s="1"/>
  <c r="C74" i="158" s="1"/>
  <c r="B67" i="158"/>
  <c r="B72" i="158" s="1"/>
  <c r="B74" i="158" s="1"/>
  <c r="W66" i="158"/>
  <c r="W65" i="158"/>
  <c r="W64" i="158"/>
  <c r="W63" i="158"/>
  <c r="W62" i="158"/>
  <c r="W61" i="158"/>
  <c r="W60" i="158"/>
  <c r="T50" i="158"/>
  <c r="S50" i="158"/>
  <c r="R50" i="158"/>
  <c r="Q50" i="158"/>
  <c r="P50" i="158"/>
  <c r="O50" i="158"/>
  <c r="G50" i="158"/>
  <c r="F50" i="158"/>
  <c r="E50" i="158"/>
  <c r="D50" i="158"/>
  <c r="C50" i="158"/>
  <c r="B50" i="158"/>
  <c r="T49" i="158"/>
  <c r="S49" i="158"/>
  <c r="R49" i="158"/>
  <c r="Q49" i="158"/>
  <c r="P49" i="158"/>
  <c r="O49" i="158"/>
  <c r="G49" i="158"/>
  <c r="F49" i="158"/>
  <c r="E49" i="158"/>
  <c r="D49" i="158"/>
  <c r="C49" i="158"/>
  <c r="B49" i="158"/>
  <c r="U48" i="158"/>
  <c r="H48" i="158"/>
  <c r="T46" i="158"/>
  <c r="T51" i="158" s="1"/>
  <c r="T53" i="158" s="1"/>
  <c r="S46" i="158"/>
  <c r="S51" i="158" s="1"/>
  <c r="S53" i="158" s="1"/>
  <c r="R46" i="158"/>
  <c r="R51" i="158" s="1"/>
  <c r="R53" i="158" s="1"/>
  <c r="Q46" i="158"/>
  <c r="Q51" i="158" s="1"/>
  <c r="Q53" i="158" s="1"/>
  <c r="P46" i="158"/>
  <c r="P51" i="158" s="1"/>
  <c r="P53" i="158" s="1"/>
  <c r="O46" i="158"/>
  <c r="O51" i="158" s="1"/>
  <c r="O53" i="158" s="1"/>
  <c r="G46" i="158"/>
  <c r="G51" i="158" s="1"/>
  <c r="G53" i="158" s="1"/>
  <c r="F46" i="158"/>
  <c r="F51" i="158" s="1"/>
  <c r="F53" i="158" s="1"/>
  <c r="E46" i="158"/>
  <c r="E51" i="158" s="1"/>
  <c r="E53" i="158" s="1"/>
  <c r="D46" i="158"/>
  <c r="D51" i="158" s="1"/>
  <c r="D53" i="158" s="1"/>
  <c r="C46" i="158"/>
  <c r="C51" i="158" s="1"/>
  <c r="C53" i="158" s="1"/>
  <c r="B46" i="158"/>
  <c r="B51" i="158" s="1"/>
  <c r="B53" i="158" s="1"/>
  <c r="U45" i="158"/>
  <c r="H45" i="158"/>
  <c r="U44" i="158"/>
  <c r="H44" i="158"/>
  <c r="U43" i="158"/>
  <c r="H43" i="158"/>
  <c r="U42" i="158"/>
  <c r="H42" i="158"/>
  <c r="U41" i="158"/>
  <c r="H41" i="158"/>
  <c r="U40" i="158"/>
  <c r="H40" i="158"/>
  <c r="U39" i="158"/>
  <c r="H39" i="158"/>
  <c r="V29" i="158"/>
  <c r="U29" i="158"/>
  <c r="T29" i="158"/>
  <c r="S29" i="158"/>
  <c r="R29" i="158"/>
  <c r="Q29" i="158"/>
  <c r="P29" i="158"/>
  <c r="O29" i="158"/>
  <c r="N29" i="158"/>
  <c r="M29" i="158"/>
  <c r="L29" i="158"/>
  <c r="K29" i="158"/>
  <c r="J29" i="158"/>
  <c r="I29" i="158"/>
  <c r="H29" i="158"/>
  <c r="G29" i="158"/>
  <c r="F29" i="158"/>
  <c r="E29" i="158"/>
  <c r="D29" i="158"/>
  <c r="C29" i="158"/>
  <c r="B29" i="158"/>
  <c r="V28" i="158"/>
  <c r="U28" i="158"/>
  <c r="T28" i="158"/>
  <c r="S28" i="158"/>
  <c r="R28" i="158"/>
  <c r="Q28" i="158"/>
  <c r="P28" i="158"/>
  <c r="O28" i="158"/>
  <c r="N28" i="158"/>
  <c r="M28" i="158"/>
  <c r="L28" i="158"/>
  <c r="K28" i="158"/>
  <c r="J28" i="158"/>
  <c r="I28" i="158"/>
  <c r="H28" i="158"/>
  <c r="G28" i="158"/>
  <c r="F28" i="158"/>
  <c r="E28" i="158"/>
  <c r="D28" i="158"/>
  <c r="C28" i="158"/>
  <c r="B28" i="158"/>
  <c r="W27" i="158"/>
  <c r="V25" i="158"/>
  <c r="V30" i="158" s="1"/>
  <c r="V32" i="158" s="1"/>
  <c r="U25" i="158"/>
  <c r="U30" i="158" s="1"/>
  <c r="U32" i="158" s="1"/>
  <c r="T25" i="158"/>
  <c r="T30" i="158" s="1"/>
  <c r="T32" i="158" s="1"/>
  <c r="S25" i="158"/>
  <c r="S30" i="158" s="1"/>
  <c r="S32" i="158" s="1"/>
  <c r="R25" i="158"/>
  <c r="Q25" i="158"/>
  <c r="Q30" i="158" s="1"/>
  <c r="Q32" i="158" s="1"/>
  <c r="P25" i="158"/>
  <c r="P30" i="158" s="1"/>
  <c r="P32" i="158" s="1"/>
  <c r="O25" i="158"/>
  <c r="O30" i="158" s="1"/>
  <c r="O32" i="158" s="1"/>
  <c r="N25" i="158"/>
  <c r="N30" i="158" s="1"/>
  <c r="N32" i="158" s="1"/>
  <c r="M25" i="158"/>
  <c r="M30" i="158" s="1"/>
  <c r="M32" i="158" s="1"/>
  <c r="L25" i="158"/>
  <c r="L30" i="158" s="1"/>
  <c r="L32" i="158" s="1"/>
  <c r="K25" i="158"/>
  <c r="J25" i="158"/>
  <c r="J30" i="158" s="1"/>
  <c r="J32" i="158" s="1"/>
  <c r="I25" i="158"/>
  <c r="I30" i="158" s="1"/>
  <c r="I32" i="158" s="1"/>
  <c r="H25" i="158"/>
  <c r="H30" i="158" s="1"/>
  <c r="H32" i="158" s="1"/>
  <c r="G25" i="158"/>
  <c r="G30" i="158" s="1"/>
  <c r="G32" i="158" s="1"/>
  <c r="F25" i="158"/>
  <c r="F30" i="158" s="1"/>
  <c r="F32" i="158" s="1"/>
  <c r="E25" i="158"/>
  <c r="E30" i="158" s="1"/>
  <c r="E32" i="158" s="1"/>
  <c r="D25" i="158"/>
  <c r="D30" i="158" s="1"/>
  <c r="D32" i="158" s="1"/>
  <c r="C25" i="158"/>
  <c r="B25" i="158"/>
  <c r="W24" i="158"/>
  <c r="W23" i="158"/>
  <c r="W22" i="158"/>
  <c r="W21" i="158"/>
  <c r="W20" i="158"/>
  <c r="W19" i="158"/>
  <c r="W18" i="158"/>
  <c r="M73" i="158" l="1"/>
  <c r="T73" i="158"/>
  <c r="W67" i="158"/>
  <c r="W68" i="158" s="1"/>
  <c r="W68" i="159"/>
  <c r="W26" i="159"/>
  <c r="H47" i="159"/>
  <c r="H49" i="159"/>
  <c r="U49" i="159"/>
  <c r="U47" i="159"/>
  <c r="R52" i="158"/>
  <c r="T52" i="158"/>
  <c r="D73" i="158"/>
  <c r="I73" i="158"/>
  <c r="U73" i="158"/>
  <c r="G73" i="158"/>
  <c r="J73" i="158"/>
  <c r="V73" i="158"/>
  <c r="S52" i="158"/>
  <c r="K31" i="158"/>
  <c r="D72" i="158"/>
  <c r="D74" i="158" s="1"/>
  <c r="E52" i="158"/>
  <c r="B73" i="158"/>
  <c r="N73" i="158"/>
  <c r="C31" i="158"/>
  <c r="O73" i="158"/>
  <c r="O52" i="158"/>
  <c r="P73" i="158"/>
  <c r="U46" i="158"/>
  <c r="U49" i="158" s="1"/>
  <c r="P52" i="158"/>
  <c r="L73" i="158"/>
  <c r="E73" i="158"/>
  <c r="Q73" i="158"/>
  <c r="R31" i="158"/>
  <c r="Q52" i="158"/>
  <c r="F73" i="158"/>
  <c r="R73" i="158"/>
  <c r="H73" i="158"/>
  <c r="T72" i="158"/>
  <c r="T74" i="158" s="1"/>
  <c r="G52" i="158"/>
  <c r="F52" i="158"/>
  <c r="D52" i="158"/>
  <c r="C52" i="158"/>
  <c r="B52" i="158"/>
  <c r="V31" i="158"/>
  <c r="U31" i="158"/>
  <c r="T31" i="158"/>
  <c r="Q31" i="158"/>
  <c r="P31" i="158"/>
  <c r="O31" i="158"/>
  <c r="N31" i="158"/>
  <c r="M31" i="158"/>
  <c r="L31" i="158"/>
  <c r="K30" i="158"/>
  <c r="K32" i="158" s="1"/>
  <c r="I31" i="158"/>
  <c r="H31" i="158"/>
  <c r="G31" i="158"/>
  <c r="F31" i="158"/>
  <c r="E31" i="158"/>
  <c r="D31" i="158"/>
  <c r="C30" i="158"/>
  <c r="C32" i="158" s="1"/>
  <c r="W25" i="158"/>
  <c r="W26" i="158" s="1"/>
  <c r="S31" i="158"/>
  <c r="B31" i="158"/>
  <c r="J31" i="158"/>
  <c r="C73" i="158"/>
  <c r="K73" i="158"/>
  <c r="S73" i="158"/>
  <c r="B30" i="158"/>
  <c r="B32" i="158" s="1"/>
  <c r="R30" i="158"/>
  <c r="R32" i="158" s="1"/>
  <c r="H46" i="158"/>
  <c r="B28" i="157"/>
  <c r="V71" i="157"/>
  <c r="U71" i="157"/>
  <c r="T71" i="157"/>
  <c r="S71" i="157"/>
  <c r="R71" i="157"/>
  <c r="Q71" i="157"/>
  <c r="P71" i="157"/>
  <c r="O71" i="157"/>
  <c r="N71" i="157"/>
  <c r="M71" i="157"/>
  <c r="L71" i="157"/>
  <c r="K71" i="157"/>
  <c r="J71" i="157"/>
  <c r="I71" i="157"/>
  <c r="H71" i="157"/>
  <c r="G71" i="157"/>
  <c r="F71" i="157"/>
  <c r="E71" i="157"/>
  <c r="D71" i="157"/>
  <c r="C71" i="157"/>
  <c r="B71" i="157"/>
  <c r="V70" i="157"/>
  <c r="U70" i="157"/>
  <c r="T70" i="157"/>
  <c r="S70" i="157"/>
  <c r="R70" i="157"/>
  <c r="Q70" i="157"/>
  <c r="P70" i="157"/>
  <c r="O70" i="157"/>
  <c r="N70" i="157"/>
  <c r="M70" i="157"/>
  <c r="L70" i="157"/>
  <c r="K70" i="157"/>
  <c r="J70" i="157"/>
  <c r="I70" i="157"/>
  <c r="H70" i="157"/>
  <c r="G70" i="157"/>
  <c r="F70" i="157"/>
  <c r="E70" i="157"/>
  <c r="D70" i="157"/>
  <c r="C70" i="157"/>
  <c r="B70" i="157"/>
  <c r="W69" i="157"/>
  <c r="V67" i="157"/>
  <c r="V72" i="157" s="1"/>
  <c r="V74" i="157" s="1"/>
  <c r="U67" i="157"/>
  <c r="U72" i="157" s="1"/>
  <c r="U74" i="157" s="1"/>
  <c r="T67" i="157"/>
  <c r="T72" i="157" s="1"/>
  <c r="T74" i="157" s="1"/>
  <c r="S67" i="157"/>
  <c r="S72" i="157" s="1"/>
  <c r="S74" i="157" s="1"/>
  <c r="R67" i="157"/>
  <c r="R72" i="157" s="1"/>
  <c r="R74" i="157" s="1"/>
  <c r="Q67" i="157"/>
  <c r="Q72" i="157" s="1"/>
  <c r="Q74" i="157" s="1"/>
  <c r="P67" i="157"/>
  <c r="P72" i="157" s="1"/>
  <c r="P74" i="157" s="1"/>
  <c r="O67" i="157"/>
  <c r="O72" i="157" s="1"/>
  <c r="O74" i="157" s="1"/>
  <c r="N67" i="157"/>
  <c r="N72" i="157" s="1"/>
  <c r="N74" i="157" s="1"/>
  <c r="M67" i="157"/>
  <c r="M72" i="157" s="1"/>
  <c r="M74" i="157" s="1"/>
  <c r="L67" i="157"/>
  <c r="L72" i="157" s="1"/>
  <c r="L74" i="157" s="1"/>
  <c r="K67" i="157"/>
  <c r="K72" i="157" s="1"/>
  <c r="K74" i="157" s="1"/>
  <c r="J67" i="157"/>
  <c r="J72" i="157" s="1"/>
  <c r="J74" i="157" s="1"/>
  <c r="I67" i="157"/>
  <c r="I72" i="157" s="1"/>
  <c r="I74" i="157" s="1"/>
  <c r="H67" i="157"/>
  <c r="H72" i="157" s="1"/>
  <c r="H74" i="157" s="1"/>
  <c r="G67" i="157"/>
  <c r="G72" i="157" s="1"/>
  <c r="G74" i="157" s="1"/>
  <c r="F67" i="157"/>
  <c r="F72" i="157" s="1"/>
  <c r="F74" i="157" s="1"/>
  <c r="E67" i="157"/>
  <c r="E72" i="157" s="1"/>
  <c r="E74" i="157" s="1"/>
  <c r="D67" i="157"/>
  <c r="D72" i="157" s="1"/>
  <c r="D74" i="157" s="1"/>
  <c r="C67" i="157"/>
  <c r="C72" i="157" s="1"/>
  <c r="C74" i="157" s="1"/>
  <c r="B67" i="157"/>
  <c r="B72" i="157" s="1"/>
  <c r="B74" i="157" s="1"/>
  <c r="W66" i="157"/>
  <c r="W65" i="157"/>
  <c r="W64" i="157"/>
  <c r="W63" i="157"/>
  <c r="W62" i="157"/>
  <c r="W61" i="157"/>
  <c r="W60" i="157"/>
  <c r="T50" i="157"/>
  <c r="S50" i="157"/>
  <c r="R50" i="157"/>
  <c r="Q50" i="157"/>
  <c r="P50" i="157"/>
  <c r="O50" i="157"/>
  <c r="G50" i="157"/>
  <c r="F50" i="157"/>
  <c r="E50" i="157"/>
  <c r="D50" i="157"/>
  <c r="C50" i="157"/>
  <c r="B50" i="157"/>
  <c r="T49" i="157"/>
  <c r="S49" i="157"/>
  <c r="R49" i="157"/>
  <c r="Q49" i="157"/>
  <c r="P49" i="157"/>
  <c r="O49" i="157"/>
  <c r="G49" i="157"/>
  <c r="F49" i="157"/>
  <c r="E49" i="157"/>
  <c r="D49" i="157"/>
  <c r="C49" i="157"/>
  <c r="B49" i="157"/>
  <c r="U48" i="157"/>
  <c r="H48" i="157"/>
  <c r="T46" i="157"/>
  <c r="T51" i="157" s="1"/>
  <c r="T53" i="157" s="1"/>
  <c r="S46" i="157"/>
  <c r="S51" i="157" s="1"/>
  <c r="S53" i="157" s="1"/>
  <c r="R46" i="157"/>
  <c r="R51" i="157" s="1"/>
  <c r="R53" i="157" s="1"/>
  <c r="Q46" i="157"/>
  <c r="Q51" i="157" s="1"/>
  <c r="Q53" i="157" s="1"/>
  <c r="P46" i="157"/>
  <c r="P51" i="157" s="1"/>
  <c r="P53" i="157" s="1"/>
  <c r="O46" i="157"/>
  <c r="G46" i="157"/>
  <c r="G51" i="157" s="1"/>
  <c r="G53" i="157" s="1"/>
  <c r="F46" i="157"/>
  <c r="F51" i="157" s="1"/>
  <c r="F53" i="157" s="1"/>
  <c r="E46" i="157"/>
  <c r="E51" i="157" s="1"/>
  <c r="E53" i="157" s="1"/>
  <c r="D46" i="157"/>
  <c r="D51" i="157" s="1"/>
  <c r="D53" i="157" s="1"/>
  <c r="C46" i="157"/>
  <c r="B46" i="157"/>
  <c r="B51" i="157" s="1"/>
  <c r="B53" i="157" s="1"/>
  <c r="U45" i="157"/>
  <c r="H45" i="157"/>
  <c r="U44" i="157"/>
  <c r="H44" i="157"/>
  <c r="U43" i="157"/>
  <c r="H43" i="157"/>
  <c r="U42" i="157"/>
  <c r="H42" i="157"/>
  <c r="U41" i="157"/>
  <c r="H41" i="157"/>
  <c r="U40" i="157"/>
  <c r="H40" i="157"/>
  <c r="U39" i="157"/>
  <c r="H39" i="157"/>
  <c r="V29" i="157"/>
  <c r="U29" i="157"/>
  <c r="T29" i="157"/>
  <c r="S29" i="157"/>
  <c r="R29" i="157"/>
  <c r="Q29" i="157"/>
  <c r="P29" i="157"/>
  <c r="O29" i="157"/>
  <c r="N29" i="157"/>
  <c r="M29" i="157"/>
  <c r="L29" i="157"/>
  <c r="K29" i="157"/>
  <c r="J29" i="157"/>
  <c r="I29" i="157"/>
  <c r="H29" i="157"/>
  <c r="G29" i="157"/>
  <c r="F29" i="157"/>
  <c r="E29" i="157"/>
  <c r="D29" i="157"/>
  <c r="C29" i="157"/>
  <c r="B29" i="157"/>
  <c r="V28" i="157"/>
  <c r="U28" i="157"/>
  <c r="T28" i="157"/>
  <c r="S28" i="157"/>
  <c r="R28" i="157"/>
  <c r="Q28" i="157"/>
  <c r="P28" i="157"/>
  <c r="O28" i="157"/>
  <c r="N28" i="157"/>
  <c r="M28" i="157"/>
  <c r="L28" i="157"/>
  <c r="K28" i="157"/>
  <c r="J28" i="157"/>
  <c r="I28" i="157"/>
  <c r="H28" i="157"/>
  <c r="G28" i="157"/>
  <c r="F28" i="157"/>
  <c r="E28" i="157"/>
  <c r="D28" i="157"/>
  <c r="C28" i="157"/>
  <c r="W27" i="157"/>
  <c r="V25" i="157"/>
  <c r="V30" i="157" s="1"/>
  <c r="V32" i="157" s="1"/>
  <c r="U25" i="157"/>
  <c r="U30" i="157" s="1"/>
  <c r="U32" i="157" s="1"/>
  <c r="T25" i="157"/>
  <c r="T30" i="157" s="1"/>
  <c r="T32" i="157" s="1"/>
  <c r="S25" i="157"/>
  <c r="S30" i="157" s="1"/>
  <c r="S32" i="157" s="1"/>
  <c r="R25" i="157"/>
  <c r="R30" i="157" s="1"/>
  <c r="R32" i="157" s="1"/>
  <c r="Q25" i="157"/>
  <c r="Q30" i="157" s="1"/>
  <c r="Q32" i="157" s="1"/>
  <c r="P25" i="157"/>
  <c r="O25" i="157"/>
  <c r="O30" i="157" s="1"/>
  <c r="O32" i="157" s="1"/>
  <c r="N25" i="157"/>
  <c r="N30" i="157" s="1"/>
  <c r="N32" i="157" s="1"/>
  <c r="M25" i="157"/>
  <c r="M30" i="157" s="1"/>
  <c r="M32" i="157" s="1"/>
  <c r="L25" i="157"/>
  <c r="L30" i="157" s="1"/>
  <c r="L32" i="157" s="1"/>
  <c r="K25" i="157"/>
  <c r="J25" i="157"/>
  <c r="J30" i="157" s="1"/>
  <c r="J32" i="157" s="1"/>
  <c r="I25" i="157"/>
  <c r="I30" i="157" s="1"/>
  <c r="I32" i="157" s="1"/>
  <c r="H25" i="157"/>
  <c r="H30" i="157" s="1"/>
  <c r="H32" i="157" s="1"/>
  <c r="G25" i="157"/>
  <c r="G30" i="157" s="1"/>
  <c r="G32" i="157" s="1"/>
  <c r="F25" i="157"/>
  <c r="F30" i="157" s="1"/>
  <c r="F32" i="157" s="1"/>
  <c r="E25" i="157"/>
  <c r="E30" i="157" s="1"/>
  <c r="E32" i="157" s="1"/>
  <c r="D25" i="157"/>
  <c r="D30" i="157" s="1"/>
  <c r="D32" i="157" s="1"/>
  <c r="C25" i="157"/>
  <c r="C30" i="157" s="1"/>
  <c r="C32" i="157" s="1"/>
  <c r="B25" i="157"/>
  <c r="B30" i="157" s="1"/>
  <c r="B32" i="157" s="1"/>
  <c r="W24" i="157"/>
  <c r="W23" i="157"/>
  <c r="W22" i="157"/>
  <c r="W21" i="157"/>
  <c r="W20" i="157"/>
  <c r="W19" i="157"/>
  <c r="W18" i="157"/>
  <c r="H13" i="179"/>
  <c r="G43" i="179"/>
  <c r="T39" i="179"/>
  <c r="R40" i="180"/>
  <c r="V19" i="180"/>
  <c r="C16" i="180"/>
  <c r="F43" i="180"/>
  <c r="V17" i="179"/>
  <c r="F14" i="180"/>
  <c r="O14" i="179"/>
  <c r="G19" i="180"/>
  <c r="P12" i="179"/>
  <c r="H41" i="180"/>
  <c r="L19" i="179"/>
  <c r="O41" i="179"/>
  <c r="P14" i="179"/>
  <c r="P30" i="179"/>
  <c r="N45" i="180"/>
  <c r="J37" i="180"/>
  <c r="D29" i="180"/>
  <c r="I43" i="179"/>
  <c r="K39" i="179"/>
  <c r="F17" i="179"/>
  <c r="W11" i="179"/>
  <c r="H39" i="179"/>
  <c r="D25" i="179"/>
  <c r="V13" i="179"/>
  <c r="P32" i="180"/>
  <c r="S25" i="180"/>
  <c r="I12" i="179"/>
  <c r="H13" i="180"/>
  <c r="E45" i="180"/>
  <c r="I37" i="179"/>
  <c r="D26" i="179"/>
  <c r="P28" i="180"/>
  <c r="E41" i="179"/>
  <c r="G28" i="180"/>
  <c r="R41" i="179"/>
  <c r="G40" i="179"/>
  <c r="Q16" i="179"/>
  <c r="O14" i="180"/>
  <c r="C24" i="179"/>
  <c r="R19" i="180"/>
  <c r="F16" i="180"/>
  <c r="O25" i="180"/>
  <c r="C15" i="180"/>
  <c r="F40" i="180"/>
  <c r="H40" i="180"/>
  <c r="P42" i="179"/>
  <c r="D17" i="179"/>
  <c r="E17" i="180"/>
  <c r="G42" i="180"/>
  <c r="P11" i="179"/>
  <c r="S32" i="179"/>
  <c r="N29" i="179"/>
  <c r="D43" i="180"/>
  <c r="N38" i="180"/>
  <c r="F11" i="179"/>
  <c r="D13" i="179"/>
  <c r="D12" i="180"/>
  <c r="I15" i="179"/>
  <c r="F12" i="179"/>
  <c r="D29" i="179"/>
  <c r="C12" i="179"/>
  <c r="M39" i="180"/>
  <c r="C40" i="179"/>
  <c r="R13" i="179"/>
  <c r="P15" i="179"/>
  <c r="W41" i="180"/>
  <c r="W14" i="180"/>
  <c r="V11" i="180"/>
  <c r="J42" i="180"/>
  <c r="O40" i="179"/>
  <c r="F26" i="180"/>
  <c r="F28" i="180"/>
  <c r="P13" i="179"/>
  <c r="S11" i="179"/>
  <c r="N27" i="180"/>
  <c r="V41" i="180"/>
  <c r="E11" i="180"/>
  <c r="O26" i="179"/>
  <c r="C17" i="180"/>
  <c r="V13" i="180"/>
  <c r="N38" i="179"/>
  <c r="M12" i="180"/>
  <c r="O38" i="180"/>
  <c r="P16" i="180"/>
  <c r="V19" i="179"/>
  <c r="U17" i="179"/>
  <c r="K19" i="180"/>
  <c r="S43" i="180"/>
  <c r="Q41" i="179"/>
  <c r="H38" i="179"/>
  <c r="D28" i="180"/>
  <c r="D37" i="180"/>
  <c r="I17" i="179"/>
  <c r="N37" i="179"/>
  <c r="R37" i="180"/>
  <c r="N17" i="180"/>
  <c r="C11" i="179"/>
  <c r="L15" i="179"/>
  <c r="J13" i="179"/>
  <c r="N28" i="180"/>
  <c r="S40" i="180"/>
  <c r="M45" i="179"/>
  <c r="P45" i="179"/>
  <c r="D38" i="179"/>
  <c r="H41" i="179"/>
  <c r="U15" i="179"/>
  <c r="F30" i="180"/>
  <c r="O15" i="179"/>
  <c r="P41" i="179"/>
  <c r="S25" i="179"/>
  <c r="J19" i="179"/>
  <c r="S15" i="179"/>
  <c r="S16" i="179"/>
  <c r="N26" i="179"/>
  <c r="N19" i="179"/>
  <c r="T19" i="180"/>
  <c r="G15" i="179"/>
  <c r="I38" i="180"/>
  <c r="C30" i="179"/>
  <c r="F24" i="179"/>
  <c r="M40" i="180"/>
  <c r="F39" i="179"/>
  <c r="S29" i="179"/>
  <c r="F37" i="180"/>
  <c r="S19" i="179"/>
  <c r="T37" i="180"/>
  <c r="E28" i="180"/>
  <c r="R27" i="180"/>
  <c r="U41" i="180"/>
  <c r="M13" i="180"/>
  <c r="R12" i="179"/>
  <c r="M17" i="180"/>
  <c r="I13" i="180"/>
  <c r="G16" i="179"/>
  <c r="H28" i="180"/>
  <c r="Q29" i="180"/>
  <c r="N40" i="180"/>
  <c r="L14" i="180"/>
  <c r="Q40" i="180"/>
  <c r="G32" i="180"/>
  <c r="Q39" i="180"/>
  <c r="L37" i="180"/>
  <c r="F32" i="180"/>
  <c r="H27" i="179"/>
  <c r="E39" i="179"/>
  <c r="P13" i="180"/>
  <c r="P27" i="180"/>
  <c r="N43" i="180"/>
  <c r="F13" i="179"/>
  <c r="U12" i="180"/>
  <c r="H42" i="179"/>
  <c r="N41" i="180"/>
  <c r="P37" i="180"/>
  <c r="M14" i="179"/>
  <c r="D40" i="179"/>
  <c r="T41" i="179"/>
  <c r="K39" i="180"/>
  <c r="L16" i="180"/>
  <c r="H32" i="180"/>
  <c r="S42" i="179"/>
  <c r="R15" i="179"/>
  <c r="N27" i="179"/>
  <c r="M38" i="179"/>
  <c r="W37" i="180"/>
  <c r="H37" i="179"/>
  <c r="F28" i="179"/>
  <c r="C19" i="179"/>
  <c r="U43" i="180"/>
  <c r="W42" i="179"/>
  <c r="F37" i="179"/>
  <c r="N25" i="180"/>
  <c r="R32" i="180"/>
  <c r="J15" i="180"/>
  <c r="G37" i="180"/>
  <c r="L40" i="180"/>
  <c r="V41" i="179"/>
  <c r="D24" i="180"/>
  <c r="L13" i="179"/>
  <c r="S28" i="180"/>
  <c r="O30" i="180"/>
  <c r="S41" i="180"/>
  <c r="S14" i="179"/>
  <c r="F11" i="180"/>
  <c r="S14" i="180"/>
  <c r="W11" i="180"/>
  <c r="U15" i="180"/>
  <c r="D43" i="179"/>
  <c r="I42" i="180"/>
  <c r="P41" i="180"/>
  <c r="C39" i="180"/>
  <c r="W17" i="180"/>
  <c r="W39" i="180"/>
  <c r="P24" i="180"/>
  <c r="H15" i="179"/>
  <c r="U13" i="179"/>
  <c r="L11" i="180"/>
  <c r="G14" i="179"/>
  <c r="I11" i="180"/>
  <c r="L16" i="179"/>
  <c r="Q32" i="180"/>
  <c r="L12" i="179"/>
  <c r="M14" i="180"/>
  <c r="M16" i="179"/>
  <c r="L43" i="179"/>
  <c r="M19" i="179"/>
  <c r="L42" i="180"/>
  <c r="D42" i="180"/>
  <c r="J38" i="180"/>
  <c r="V15" i="180"/>
  <c r="I19" i="179"/>
  <c r="Q19" i="180"/>
  <c r="G13" i="179"/>
  <c r="E29" i="180"/>
  <c r="R14" i="179"/>
  <c r="J17" i="179"/>
  <c r="K13" i="180"/>
  <c r="F27" i="179"/>
  <c r="U16" i="180"/>
  <c r="C17" i="179"/>
  <c r="H32" i="179"/>
  <c r="H24" i="179"/>
  <c r="O16" i="179"/>
  <c r="S30" i="180"/>
  <c r="V42" i="179"/>
  <c r="O24" i="179"/>
  <c r="H26" i="179"/>
  <c r="I39" i="179"/>
  <c r="C27" i="180"/>
  <c r="D16" i="179"/>
  <c r="P17" i="180"/>
  <c r="E24" i="180"/>
  <c r="P29" i="180"/>
  <c r="C13" i="179"/>
  <c r="O43" i="179"/>
  <c r="R45" i="179"/>
  <c r="R17" i="180"/>
  <c r="D16" i="180"/>
  <c r="E38" i="180"/>
  <c r="G12" i="179"/>
  <c r="T17" i="180"/>
  <c r="L19" i="180"/>
  <c r="F45" i="179"/>
  <c r="T40" i="179"/>
  <c r="D45" i="179"/>
  <c r="S39" i="180"/>
  <c r="K42" i="179"/>
  <c r="U14" i="180"/>
  <c r="E45" i="179"/>
  <c r="P40" i="179"/>
  <c r="M40" i="179"/>
  <c r="F13" i="180"/>
  <c r="V39" i="180"/>
  <c r="D19" i="179"/>
  <c r="Q16" i="180"/>
  <c r="U37" i="180"/>
  <c r="E16" i="180"/>
  <c r="M41" i="180"/>
  <c r="Q17" i="180"/>
  <c r="O29" i="179"/>
  <c r="E13" i="180"/>
  <c r="U42" i="180"/>
  <c r="K11" i="179"/>
  <c r="Q15" i="180"/>
  <c r="S13" i="180"/>
  <c r="T13" i="179"/>
  <c r="Q12" i="180"/>
  <c r="I45" i="179"/>
  <c r="G26" i="179"/>
  <c r="R32" i="179"/>
  <c r="G17" i="180"/>
  <c r="H29" i="179"/>
  <c r="Q24" i="179"/>
  <c r="D19" i="180"/>
  <c r="I16" i="180"/>
  <c r="P11" i="180"/>
  <c r="K43" i="180"/>
  <c r="V43" i="179"/>
  <c r="N45" i="179"/>
  <c r="E37" i="179"/>
  <c r="O25" i="179"/>
  <c r="N28" i="179"/>
  <c r="N32" i="180"/>
  <c r="G42" i="179"/>
  <c r="N16" i="179"/>
  <c r="R28" i="180"/>
  <c r="K41" i="180"/>
  <c r="U19" i="179"/>
  <c r="J17" i="180"/>
  <c r="G40" i="180"/>
  <c r="N12" i="180"/>
  <c r="C30" i="180"/>
  <c r="J43" i="180"/>
  <c r="P25" i="179"/>
  <c r="W45" i="180"/>
  <c r="E11" i="179"/>
  <c r="D39" i="179"/>
  <c r="L37" i="179"/>
  <c r="E30" i="179"/>
  <c r="O32" i="179"/>
  <c r="D11" i="180"/>
  <c r="N17" i="179"/>
  <c r="K38" i="180"/>
  <c r="P43" i="180"/>
  <c r="H43" i="180"/>
  <c r="S15" i="180"/>
  <c r="J42" i="179"/>
  <c r="R29" i="180"/>
  <c r="N32" i="179"/>
  <c r="G26" i="180"/>
  <c r="M19" i="180"/>
  <c r="S45" i="180"/>
  <c r="R12" i="180"/>
  <c r="N24" i="180"/>
  <c r="G25" i="180"/>
  <c r="M45" i="180"/>
  <c r="P26" i="179"/>
  <c r="O27" i="180"/>
  <c r="D39" i="180"/>
  <c r="D41" i="180"/>
  <c r="Q32" i="179"/>
  <c r="M42" i="180"/>
  <c r="O27" i="179"/>
  <c r="W39" i="179"/>
  <c r="U12" i="179"/>
  <c r="U40" i="180"/>
  <c r="N26" i="180"/>
  <c r="D26" i="180"/>
  <c r="D28" i="179"/>
  <c r="E25" i="180"/>
  <c r="C25" i="180"/>
  <c r="O45" i="179"/>
  <c r="O45" i="180"/>
  <c r="L45" i="179"/>
  <c r="R27" i="179"/>
  <c r="S24" i="179"/>
  <c r="T43" i="179"/>
  <c r="Q26" i="179"/>
  <c r="T12" i="180"/>
  <c r="G29" i="179"/>
  <c r="I39" i="180"/>
  <c r="U39" i="180"/>
  <c r="I13" i="179"/>
  <c r="E42" i="180"/>
  <c r="J14" i="179"/>
  <c r="S16" i="180"/>
  <c r="I14" i="180"/>
  <c r="P19" i="180"/>
  <c r="R39" i="179"/>
  <c r="W12" i="180"/>
  <c r="P39" i="179"/>
  <c r="H45" i="179"/>
  <c r="O37" i="180"/>
  <c r="E37" i="180"/>
  <c r="N24" i="179"/>
  <c r="M42" i="179"/>
  <c r="M38" i="180"/>
  <c r="V40" i="179"/>
  <c r="C37" i="179"/>
  <c r="W16" i="180"/>
  <c r="N39" i="179"/>
  <c r="Q39" i="179"/>
  <c r="D27" i="180"/>
  <c r="P39" i="180"/>
  <c r="W40" i="179"/>
  <c r="M37" i="180"/>
  <c r="T12" i="179"/>
  <c r="S29" i="180"/>
  <c r="G11" i="180"/>
  <c r="N37" i="180"/>
  <c r="H45" i="180"/>
  <c r="G28" i="179"/>
  <c r="S42" i="180"/>
  <c r="E39" i="180"/>
  <c r="R43" i="179"/>
  <c r="J16" i="180"/>
  <c r="J15" i="179"/>
  <c r="H17" i="179"/>
  <c r="M15" i="180"/>
  <c r="I19" i="180"/>
  <c r="C45" i="179"/>
  <c r="T42" i="179"/>
  <c r="H24" i="180"/>
  <c r="N42" i="179"/>
  <c r="S30" i="179"/>
  <c r="E16" i="179"/>
  <c r="C13" i="180"/>
  <c r="U14" i="179"/>
  <c r="G30" i="180"/>
  <c r="G24" i="179"/>
  <c r="S43" i="179"/>
  <c r="S12" i="179"/>
  <c r="L42" i="179"/>
  <c r="C14" i="180"/>
  <c r="V12" i="180"/>
  <c r="P28" i="179"/>
  <c r="U40" i="179"/>
  <c r="T16" i="179"/>
  <c r="T41" i="180"/>
  <c r="T37" i="179"/>
  <c r="M41" i="179"/>
  <c r="U43" i="179"/>
  <c r="N15" i="179"/>
  <c r="O42" i="179"/>
  <c r="J45" i="179"/>
  <c r="O12" i="180"/>
  <c r="F42" i="180"/>
  <c r="J14" i="180"/>
  <c r="Q43" i="180"/>
  <c r="R41" i="180"/>
  <c r="H19" i="180"/>
  <c r="C28" i="180"/>
  <c r="E40" i="179"/>
  <c r="W45" i="179"/>
  <c r="R11" i="180"/>
  <c r="E26" i="180"/>
  <c r="P25" i="180"/>
  <c r="E38" i="179"/>
  <c r="R14" i="180"/>
  <c r="T15" i="179"/>
  <c r="M13" i="179"/>
  <c r="J37" i="179"/>
  <c r="O32" i="180"/>
  <c r="E13" i="179"/>
  <c r="K14" i="179"/>
  <c r="N16" i="180"/>
  <c r="F15" i="179"/>
  <c r="O39" i="180"/>
  <c r="F41" i="180"/>
  <c r="G45" i="179"/>
  <c r="F25" i="179"/>
  <c r="U11" i="180"/>
  <c r="R16" i="179"/>
  <c r="C37" i="180"/>
  <c r="J12" i="180"/>
  <c r="U13" i="180"/>
  <c r="O41" i="180"/>
  <c r="M39" i="179"/>
  <c r="E12" i="179"/>
  <c r="T16" i="180"/>
  <c r="T14" i="180"/>
  <c r="H11" i="179"/>
  <c r="Q11" i="180"/>
  <c r="Q38" i="180"/>
  <c r="P17" i="179"/>
  <c r="Q38" i="179"/>
  <c r="H14" i="179"/>
  <c r="O43" i="180"/>
  <c r="Q26" i="180"/>
  <c r="O13" i="179"/>
  <c r="Q45" i="180"/>
  <c r="N43" i="179"/>
  <c r="D32" i="180"/>
  <c r="E41" i="180"/>
  <c r="S45" i="179"/>
  <c r="H28" i="179"/>
  <c r="Q29" i="179"/>
  <c r="E24" i="179"/>
  <c r="P43" i="179"/>
  <c r="G41" i="179"/>
  <c r="M12" i="179"/>
  <c r="Q45" i="179"/>
  <c r="T38" i="180"/>
  <c r="N29" i="180"/>
  <c r="M15" i="179"/>
  <c r="O15" i="180"/>
  <c r="C26" i="180"/>
  <c r="T40" i="180"/>
  <c r="P29" i="179"/>
  <c r="R42" i="180"/>
  <c r="P40" i="180"/>
  <c r="D37" i="179"/>
  <c r="R30" i="180"/>
  <c r="G16" i="180"/>
  <c r="Q37" i="180"/>
  <c r="L17" i="179"/>
  <c r="R39" i="180"/>
  <c r="W19" i="179"/>
  <c r="P19" i="179"/>
  <c r="E42" i="179"/>
  <c r="K11" i="180"/>
  <c r="P32" i="179"/>
  <c r="N13" i="180"/>
  <c r="N19" i="180"/>
  <c r="I17" i="180"/>
  <c r="F38" i="180"/>
  <c r="D24" i="179"/>
  <c r="D30" i="180"/>
  <c r="G38" i="179"/>
  <c r="F38" i="179"/>
  <c r="E26" i="179"/>
  <c r="R40" i="179"/>
  <c r="V37" i="179"/>
  <c r="H37" i="180"/>
  <c r="C41" i="179"/>
  <c r="K45" i="179"/>
  <c r="Q24" i="180"/>
  <c r="O17" i="179"/>
  <c r="D17" i="180"/>
  <c r="F29" i="179"/>
  <c r="F43" i="179"/>
  <c r="R13" i="180"/>
  <c r="I16" i="179"/>
  <c r="W14" i="179"/>
  <c r="R19" i="179"/>
  <c r="G13" i="180"/>
  <c r="N14" i="179"/>
  <c r="G11" i="179"/>
  <c r="V38" i="180"/>
  <c r="V16" i="180"/>
  <c r="W40" i="180"/>
  <c r="C38" i="180"/>
  <c r="K14" i="180"/>
  <c r="Q40" i="179"/>
  <c r="S13" i="179"/>
  <c r="H30" i="180"/>
  <c r="F19" i="179"/>
  <c r="V45" i="179"/>
  <c r="P24" i="179"/>
  <c r="W16" i="179"/>
  <c r="H16" i="179"/>
  <c r="J11" i="180"/>
  <c r="O17" i="180"/>
  <c r="V14" i="180"/>
  <c r="K40" i="180"/>
  <c r="G24" i="180"/>
  <c r="Q14" i="180"/>
  <c r="C43" i="179"/>
  <c r="W38" i="179"/>
  <c r="R38" i="180"/>
  <c r="D27" i="179"/>
  <c r="K15" i="180"/>
  <c r="E25" i="179"/>
  <c r="S38" i="179"/>
  <c r="K17" i="179"/>
  <c r="H38" i="180"/>
  <c r="R43" i="180"/>
  <c r="R16" i="180"/>
  <c r="T45" i="180"/>
  <c r="Q13" i="179"/>
  <c r="J11" i="179"/>
  <c r="R30" i="179"/>
  <c r="Q37" i="179"/>
  <c r="P15" i="180"/>
  <c r="Q13" i="180"/>
  <c r="O11" i="180"/>
  <c r="O16" i="180"/>
  <c r="H17" i="180"/>
  <c r="S17" i="180"/>
  <c r="D14" i="180"/>
  <c r="S11" i="180"/>
  <c r="K17" i="180"/>
  <c r="F45" i="180"/>
  <c r="T19" i="179"/>
  <c r="I42" i="179"/>
  <c r="G37" i="179"/>
  <c r="W13" i="179"/>
  <c r="L40" i="179"/>
  <c r="G27" i="179"/>
  <c r="E19" i="180"/>
  <c r="L38" i="180"/>
  <c r="P37" i="179"/>
  <c r="K12" i="180"/>
  <c r="G17" i="179"/>
  <c r="F42" i="179"/>
  <c r="K15" i="179"/>
  <c r="K19" i="179"/>
  <c r="H40" i="179"/>
  <c r="J41" i="180"/>
  <c r="C26" i="179"/>
  <c r="G12" i="180"/>
  <c r="M17" i="179"/>
  <c r="N11" i="180"/>
  <c r="F14" i="179"/>
  <c r="Q19" i="179"/>
  <c r="V11" i="179"/>
  <c r="C32" i="179"/>
  <c r="W13" i="180"/>
  <c r="J45" i="180"/>
  <c r="L11" i="179"/>
  <c r="U17" i="180"/>
  <c r="V45" i="180"/>
  <c r="W19" i="180"/>
  <c r="L15" i="180"/>
  <c r="E29" i="179"/>
  <c r="C39" i="179"/>
  <c r="N25" i="179"/>
  <c r="D11" i="179"/>
  <c r="T13" i="180"/>
  <c r="C40" i="180"/>
  <c r="K45" i="180"/>
  <c r="U37" i="179"/>
  <c r="R28" i="179"/>
  <c r="K41" i="179"/>
  <c r="V39" i="179"/>
  <c r="E27" i="179"/>
  <c r="N15" i="180"/>
  <c r="U11" i="179"/>
  <c r="L38" i="179"/>
  <c r="F24" i="180"/>
  <c r="I40" i="180"/>
  <c r="C25" i="179"/>
  <c r="G15" i="180"/>
  <c r="C41" i="180"/>
  <c r="H42" i="180"/>
  <c r="Q12" i="179"/>
  <c r="F32" i="179"/>
  <c r="J19" i="180"/>
  <c r="J41" i="179"/>
  <c r="S41" i="179"/>
  <c r="O12" i="179"/>
  <c r="C29" i="179"/>
  <c r="U39" i="179"/>
  <c r="F15" i="180"/>
  <c r="E14" i="180"/>
  <c r="U45" i="180"/>
  <c r="J12" i="179"/>
  <c r="E32" i="179"/>
  <c r="C12" i="180"/>
  <c r="F29" i="180"/>
  <c r="D42" i="179"/>
  <c r="V43" i="180"/>
  <c r="C16" i="179"/>
  <c r="C14" i="179"/>
  <c r="L45" i="180"/>
  <c r="S12" i="180"/>
  <c r="W38" i="180"/>
  <c r="V40" i="180"/>
  <c r="N39" i="180"/>
  <c r="G38" i="180"/>
  <c r="K38" i="179"/>
  <c r="S26" i="179"/>
  <c r="J40" i="180"/>
  <c r="Q15" i="179"/>
  <c r="G19" i="179"/>
  <c r="O37" i="179"/>
  <c r="E15" i="179"/>
  <c r="Q42" i="180"/>
  <c r="R11" i="179"/>
  <c r="K12" i="179"/>
  <c r="E17" i="179"/>
  <c r="T11" i="179"/>
  <c r="N13" i="179"/>
  <c r="O19" i="179"/>
  <c r="W41" i="179"/>
  <c r="E12" i="180"/>
  <c r="F27" i="180"/>
  <c r="T39" i="180"/>
  <c r="I41" i="180"/>
  <c r="K16" i="180"/>
  <c r="U38" i="179"/>
  <c r="S37" i="180"/>
  <c r="N12" i="179"/>
  <c r="T14" i="179"/>
  <c r="N11" i="179"/>
  <c r="L17" i="180"/>
  <c r="S28" i="179"/>
  <c r="D14" i="179"/>
  <c r="M11" i="179"/>
  <c r="C11" i="180"/>
  <c r="Q28" i="179"/>
  <c r="O11" i="179"/>
  <c r="L39" i="180"/>
  <c r="F12" i="180"/>
  <c r="L43" i="180"/>
  <c r="K16" i="179"/>
  <c r="W15" i="179"/>
  <c r="W37" i="179"/>
  <c r="D38" i="180"/>
  <c r="I40" i="179"/>
  <c r="E30" i="180"/>
  <c r="D45" i="180"/>
  <c r="C38" i="179"/>
  <c r="E43" i="180"/>
  <c r="C43" i="180"/>
  <c r="P26" i="180"/>
  <c r="H25" i="180"/>
  <c r="E40" i="180"/>
  <c r="P27" i="179"/>
  <c r="U41" i="179"/>
  <c r="R42" i="179"/>
  <c r="N30" i="180"/>
  <c r="Q25" i="180"/>
  <c r="T45" i="179"/>
  <c r="S39" i="179"/>
  <c r="D13" i="180"/>
  <c r="T38" i="179"/>
  <c r="Q30" i="179"/>
  <c r="G39" i="179"/>
  <c r="Q28" i="180"/>
  <c r="W12" i="179"/>
  <c r="J16" i="179"/>
  <c r="D30" i="179"/>
  <c r="Q25" i="179"/>
  <c r="P38" i="180"/>
  <c r="Q17" i="179"/>
  <c r="K43" i="179"/>
  <c r="F26" i="179"/>
  <c r="S38" i="180"/>
  <c r="H12" i="179"/>
  <c r="P14" i="180"/>
  <c r="Q42" i="179"/>
  <c r="H26" i="180"/>
  <c r="H27" i="180"/>
  <c r="J39" i="180"/>
  <c r="T42" i="180"/>
  <c r="H43" i="179"/>
  <c r="D15" i="180"/>
  <c r="I15" i="180"/>
  <c r="M16" i="180"/>
  <c r="N42" i="180"/>
  <c r="L12" i="180"/>
  <c r="P30" i="180"/>
  <c r="S37" i="179"/>
  <c r="R15" i="180"/>
  <c r="H14" i="180"/>
  <c r="W43" i="179"/>
  <c r="C32" i="180"/>
  <c r="S26" i="180"/>
  <c r="V16" i="179"/>
  <c r="T11" i="180"/>
  <c r="L41" i="179"/>
  <c r="U19" i="180"/>
  <c r="N40" i="179"/>
  <c r="J43" i="179"/>
  <c r="H30" i="179"/>
  <c r="T15" i="180"/>
  <c r="Q27" i="179"/>
  <c r="R25" i="179"/>
  <c r="R26" i="179"/>
  <c r="W15" i="180"/>
  <c r="H12" i="180"/>
  <c r="D25" i="180"/>
  <c r="W17" i="179"/>
  <c r="S27" i="179"/>
  <c r="Q27" i="180"/>
  <c r="L14" i="179"/>
  <c r="V42" i="180"/>
  <c r="P45" i="180"/>
  <c r="F19" i="180"/>
  <c r="S32" i="180"/>
  <c r="V37" i="180"/>
  <c r="G14" i="180"/>
  <c r="M37" i="179"/>
  <c r="N14" i="180"/>
  <c r="L39" i="179"/>
  <c r="P16" i="179"/>
  <c r="R24" i="179"/>
  <c r="R26" i="180"/>
  <c r="W43" i="180"/>
  <c r="F30" i="179"/>
  <c r="H15" i="180"/>
  <c r="U16" i="179"/>
  <c r="Q43" i="179"/>
  <c r="S19" i="180"/>
  <c r="E14" i="179"/>
  <c r="R45" i="180"/>
  <c r="D15" i="179"/>
  <c r="D41" i="179"/>
  <c r="E43" i="179"/>
  <c r="O40" i="180"/>
  <c r="J13" i="180"/>
  <c r="H16" i="180"/>
  <c r="F16" i="179"/>
  <c r="C27" i="179"/>
  <c r="Q11" i="179"/>
  <c r="S40" i="179"/>
  <c r="I43" i="180"/>
  <c r="I14" i="179"/>
  <c r="C42" i="179"/>
  <c r="C19" i="180"/>
  <c r="K13" i="179"/>
  <c r="W42" i="180"/>
  <c r="I41" i="179"/>
  <c r="R38" i="179"/>
  <c r="J39" i="179"/>
  <c r="S17" i="179"/>
  <c r="M11" i="180"/>
  <c r="F39" i="180"/>
  <c r="I45" i="180"/>
  <c r="H29" i="180"/>
  <c r="O28" i="179"/>
  <c r="Q41" i="180"/>
  <c r="G39" i="180"/>
  <c r="R29" i="179"/>
  <c r="O26" i="180"/>
  <c r="R24" i="180"/>
  <c r="H19" i="179"/>
  <c r="M43" i="180"/>
  <c r="O39" i="179"/>
  <c r="E27" i="180"/>
  <c r="R37" i="179"/>
  <c r="D40" i="180"/>
  <c r="H11" i="180"/>
  <c r="O29" i="180"/>
  <c r="F40" i="179"/>
  <c r="D32" i="179"/>
  <c r="S27" i="180"/>
  <c r="T43" i="180"/>
  <c r="C29" i="180"/>
  <c r="K42" i="180"/>
  <c r="I12" i="180"/>
  <c r="C28" i="179"/>
  <c r="G29" i="180"/>
  <c r="E28" i="179"/>
  <c r="C42" i="180"/>
  <c r="E32" i="180"/>
  <c r="V15" i="179"/>
  <c r="P38" i="179"/>
  <c r="G30" i="179"/>
  <c r="J38" i="179"/>
  <c r="O13" i="180"/>
  <c r="O24" i="180"/>
  <c r="G43" i="180"/>
  <c r="H25" i="179"/>
  <c r="K40" i="179"/>
  <c r="U42" i="179"/>
  <c r="P42" i="180"/>
  <c r="V17" i="180"/>
  <c r="F41" i="179"/>
  <c r="E15" i="180"/>
  <c r="I38" i="179"/>
  <c r="T17" i="179"/>
  <c r="O30" i="179"/>
  <c r="G25" i="179"/>
  <c r="U38" i="180"/>
  <c r="F17" i="180"/>
  <c r="K37" i="180"/>
  <c r="C45" i="180"/>
  <c r="G32" i="179"/>
  <c r="C15" i="179"/>
  <c r="O42" i="180"/>
  <c r="C24" i="180"/>
  <c r="V38" i="179"/>
  <c r="G27" i="180"/>
  <c r="O19" i="180"/>
  <c r="R25" i="180"/>
  <c r="L13" i="180"/>
  <c r="M43" i="179"/>
  <c r="H39" i="180"/>
  <c r="I37" i="180"/>
  <c r="G41" i="180"/>
  <c r="O38" i="179"/>
  <c r="J40" i="179"/>
  <c r="N30" i="179"/>
  <c r="V12" i="179"/>
  <c r="P12" i="180"/>
  <c r="K37" i="179"/>
  <c r="E19" i="179"/>
  <c r="V14" i="179"/>
  <c r="N41" i="179"/>
  <c r="S24" i="180"/>
  <c r="Q30" i="180"/>
  <c r="L41" i="180"/>
  <c r="D12" i="179"/>
  <c r="R17" i="179"/>
  <c r="Q14" i="179"/>
  <c r="I11" i="179"/>
  <c r="U45" i="179"/>
  <c r="F25" i="180"/>
  <c r="G45" i="180"/>
  <c r="O28" i="180"/>
  <c r="T26" i="180" l="1"/>
  <c r="X39" i="180"/>
  <c r="I27" i="180"/>
  <c r="T32" i="179"/>
  <c r="X37" i="179"/>
  <c r="C44" i="179"/>
  <c r="T44" i="180"/>
  <c r="X13" i="180"/>
  <c r="O31" i="180"/>
  <c r="T24" i="179"/>
  <c r="N31" i="179"/>
  <c r="G18" i="180"/>
  <c r="U18" i="180"/>
  <c r="T28" i="179"/>
  <c r="I18" i="180"/>
  <c r="T18" i="180"/>
  <c r="G31" i="180"/>
  <c r="Q31" i="179"/>
  <c r="I29" i="180"/>
  <c r="H18" i="179"/>
  <c r="I32" i="180"/>
  <c r="L18" i="179"/>
  <c r="F44" i="180"/>
  <c r="X40" i="179"/>
  <c r="X40" i="180"/>
  <c r="Q18" i="179"/>
  <c r="P44" i="179"/>
  <c r="D31" i="179"/>
  <c r="X13" i="179"/>
  <c r="W44" i="180"/>
  <c r="T30" i="180"/>
  <c r="X38" i="179"/>
  <c r="O31" i="179"/>
  <c r="N44" i="180"/>
  <c r="N18" i="179"/>
  <c r="G18" i="179"/>
  <c r="Q31" i="180"/>
  <c r="I27" i="179"/>
  <c r="F31" i="179"/>
  <c r="O44" i="179"/>
  <c r="R18" i="180"/>
  <c r="X45" i="180"/>
  <c r="D18" i="180"/>
  <c r="F31" i="180"/>
  <c r="Q18" i="180"/>
  <c r="T28" i="180"/>
  <c r="G44" i="180"/>
  <c r="H44" i="179"/>
  <c r="F18" i="179"/>
  <c r="H18" i="180"/>
  <c r="O18" i="180"/>
  <c r="T27" i="180"/>
  <c r="U44" i="180"/>
  <c r="E44" i="179"/>
  <c r="X43" i="179"/>
  <c r="F18" i="180"/>
  <c r="P31" i="179"/>
  <c r="X37" i="180"/>
  <c r="C44" i="180"/>
  <c r="N18" i="180"/>
  <c r="P31" i="180"/>
  <c r="X15" i="179"/>
  <c r="X12" i="180"/>
  <c r="I18" i="179"/>
  <c r="K18" i="180"/>
  <c r="G31" i="179"/>
  <c r="X43" i="180"/>
  <c r="U44" i="179"/>
  <c r="D44" i="179"/>
  <c r="X45" i="179"/>
  <c r="S31" i="180"/>
  <c r="X17" i="179"/>
  <c r="C18" i="179"/>
  <c r="X11" i="179"/>
  <c r="X17" i="180"/>
  <c r="M18" i="180"/>
  <c r="I24" i="179"/>
  <c r="C31" i="179"/>
  <c r="I25" i="180"/>
  <c r="I44" i="179"/>
  <c r="I25" i="179"/>
  <c r="T44" i="179"/>
  <c r="W18" i="179"/>
  <c r="O44" i="180"/>
  <c r="G44" i="179"/>
  <c r="E18" i="179"/>
  <c r="X19" i="179"/>
  <c r="T32" i="180"/>
  <c r="T29" i="180"/>
  <c r="I30" i="180"/>
  <c r="K44" i="180"/>
  <c r="R18" i="179"/>
  <c r="V44" i="180"/>
  <c r="X38" i="180"/>
  <c r="X16" i="180"/>
  <c r="I29" i="179"/>
  <c r="N44" i="179"/>
  <c r="T24" i="180"/>
  <c r="N31" i="180"/>
  <c r="W18" i="180"/>
  <c r="T26" i="179"/>
  <c r="D31" i="180"/>
  <c r="R31" i="180"/>
  <c r="H31" i="180"/>
  <c r="W44" i="179"/>
  <c r="I24" i="180"/>
  <c r="C31" i="180"/>
  <c r="M18" i="179"/>
  <c r="P18" i="180"/>
  <c r="V18" i="180"/>
  <c r="K44" i="179"/>
  <c r="J18" i="180"/>
  <c r="L18" i="180"/>
  <c r="P18" i="179"/>
  <c r="T30" i="179"/>
  <c r="V18" i="179"/>
  <c r="R44" i="179"/>
  <c r="X41" i="180"/>
  <c r="E31" i="180"/>
  <c r="X39" i="179"/>
  <c r="S44" i="179"/>
  <c r="L44" i="180"/>
  <c r="R31" i="179"/>
  <c r="X42" i="180"/>
  <c r="V44" i="179"/>
  <c r="Q44" i="180"/>
  <c r="J18" i="179"/>
  <c r="X11" i="180"/>
  <c r="C18" i="180"/>
  <c r="M44" i="180"/>
  <c r="I32" i="179"/>
  <c r="X16" i="179"/>
  <c r="E44" i="180"/>
  <c r="X42" i="179"/>
  <c r="I28" i="179"/>
  <c r="F44" i="179"/>
  <c r="X14" i="180"/>
  <c r="H44" i="180"/>
  <c r="T25" i="179"/>
  <c r="M44" i="179"/>
  <c r="I30" i="179"/>
  <c r="I26" i="180"/>
  <c r="T18" i="179"/>
  <c r="E31" i="179"/>
  <c r="D44" i="180"/>
  <c r="X12" i="179"/>
  <c r="S18" i="180"/>
  <c r="I28" i="180"/>
  <c r="E18" i="180"/>
  <c r="X14" i="179"/>
  <c r="X15" i="180"/>
  <c r="R44" i="180"/>
  <c r="J44" i="179"/>
  <c r="J44" i="180"/>
  <c r="D18" i="179"/>
  <c r="L44" i="179"/>
  <c r="S44" i="180"/>
  <c r="O18" i="179"/>
  <c r="I26" i="179"/>
  <c r="X41" i="179"/>
  <c r="T25" i="180"/>
  <c r="T29" i="179"/>
  <c r="T27" i="179"/>
  <c r="Q44" i="179"/>
  <c r="S18" i="179"/>
  <c r="P44" i="180"/>
  <c r="X19" i="180"/>
  <c r="K18" i="179"/>
  <c r="I44" i="180"/>
  <c r="U18" i="179"/>
  <c r="H31" i="179"/>
  <c r="S31" i="179"/>
  <c r="W70" i="158"/>
  <c r="U47" i="158"/>
  <c r="C73" i="157"/>
  <c r="E73" i="157"/>
  <c r="R73" i="157"/>
  <c r="W28" i="158"/>
  <c r="H47" i="158"/>
  <c r="H49" i="158"/>
  <c r="S73" i="157"/>
  <c r="T73" i="157"/>
  <c r="B31" i="157"/>
  <c r="J73" i="157"/>
  <c r="K31" i="157"/>
  <c r="Q31" i="157"/>
  <c r="K73" i="157"/>
  <c r="N31" i="157"/>
  <c r="R31" i="157"/>
  <c r="U73" i="157"/>
  <c r="S31" i="157"/>
  <c r="V73" i="157"/>
  <c r="Q73" i="157"/>
  <c r="P73" i="157"/>
  <c r="O73" i="157"/>
  <c r="N73" i="157"/>
  <c r="D73" i="157"/>
  <c r="B73" i="157"/>
  <c r="E52" i="157"/>
  <c r="W67" i="157"/>
  <c r="W68" i="157" s="1"/>
  <c r="H73" i="157"/>
  <c r="I73" i="157"/>
  <c r="I31" i="157"/>
  <c r="K30" i="157"/>
  <c r="K32" i="157" s="1"/>
  <c r="F73" i="157"/>
  <c r="J31" i="157"/>
  <c r="P52" i="157"/>
  <c r="G73" i="157"/>
  <c r="R52" i="157"/>
  <c r="S52" i="157"/>
  <c r="T52" i="157"/>
  <c r="U46" i="157"/>
  <c r="Q52" i="157"/>
  <c r="O51" i="157"/>
  <c r="O53" i="157" s="1"/>
  <c r="O52" i="157"/>
  <c r="G52" i="157"/>
  <c r="F52" i="157"/>
  <c r="D52" i="157"/>
  <c r="C52" i="157"/>
  <c r="H46" i="157"/>
  <c r="H47" i="157" s="1"/>
  <c r="B52" i="157"/>
  <c r="V31" i="157"/>
  <c r="U31" i="157"/>
  <c r="T31" i="157"/>
  <c r="M31" i="157"/>
  <c r="L31" i="157"/>
  <c r="H31" i="157"/>
  <c r="G31" i="157"/>
  <c r="F31" i="157"/>
  <c r="E31" i="157"/>
  <c r="W25" i="157"/>
  <c r="W26" i="157" s="1"/>
  <c r="P31" i="157"/>
  <c r="O31" i="157"/>
  <c r="D31" i="157"/>
  <c r="M73" i="157"/>
  <c r="P30" i="157"/>
  <c r="P32" i="157" s="1"/>
  <c r="C31" i="157"/>
  <c r="L73" i="157"/>
  <c r="C51" i="157"/>
  <c r="C53" i="157" s="1"/>
  <c r="B50" i="155"/>
  <c r="T31" i="179" l="1"/>
  <c r="I31" i="179"/>
  <c r="I31" i="180"/>
  <c r="X44" i="180"/>
  <c r="X18" i="179"/>
  <c r="X44" i="179"/>
  <c r="X18" i="180"/>
  <c r="T31" i="180"/>
  <c r="U49" i="157"/>
  <c r="U47" i="157"/>
  <c r="W70" i="157"/>
  <c r="H49" i="157"/>
  <c r="W28" i="157"/>
  <c r="B28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B71" i="155"/>
  <c r="V70" i="155"/>
  <c r="U70" i="155"/>
  <c r="T70" i="155"/>
  <c r="S70" i="155"/>
  <c r="R70" i="155"/>
  <c r="Q70" i="155"/>
  <c r="P70" i="155"/>
  <c r="O70" i="155"/>
  <c r="N70" i="155"/>
  <c r="M70" i="155"/>
  <c r="L70" i="155"/>
  <c r="K70" i="155"/>
  <c r="J70" i="155"/>
  <c r="I70" i="155"/>
  <c r="H70" i="155"/>
  <c r="G70" i="155"/>
  <c r="F70" i="155"/>
  <c r="E70" i="155"/>
  <c r="D70" i="155"/>
  <c r="C70" i="155"/>
  <c r="B70" i="155"/>
  <c r="W69" i="155"/>
  <c r="V67" i="155"/>
  <c r="V72" i="155" s="1"/>
  <c r="V74" i="155" s="1"/>
  <c r="U67" i="155"/>
  <c r="U72" i="155" s="1"/>
  <c r="U74" i="155" s="1"/>
  <c r="T67" i="155"/>
  <c r="S67" i="155"/>
  <c r="S72" i="155" s="1"/>
  <c r="S74" i="155" s="1"/>
  <c r="R67" i="155"/>
  <c r="R72" i="155" s="1"/>
  <c r="R74" i="155" s="1"/>
  <c r="Q67" i="155"/>
  <c r="Q72" i="155" s="1"/>
  <c r="Q74" i="155" s="1"/>
  <c r="P67" i="155"/>
  <c r="P72" i="155" s="1"/>
  <c r="P74" i="155" s="1"/>
  <c r="O67" i="155"/>
  <c r="O72" i="155" s="1"/>
  <c r="O74" i="155" s="1"/>
  <c r="N67" i="155"/>
  <c r="N72" i="155" s="1"/>
  <c r="N74" i="155" s="1"/>
  <c r="M67" i="155"/>
  <c r="M72" i="155" s="1"/>
  <c r="M74" i="155" s="1"/>
  <c r="L67" i="155"/>
  <c r="L72" i="155" s="1"/>
  <c r="L74" i="155" s="1"/>
  <c r="K67" i="155"/>
  <c r="K72" i="155" s="1"/>
  <c r="K74" i="155" s="1"/>
  <c r="J67" i="155"/>
  <c r="I67" i="155"/>
  <c r="H67" i="155"/>
  <c r="G67" i="155"/>
  <c r="G72" i="155" s="1"/>
  <c r="G74" i="155" s="1"/>
  <c r="F67" i="155"/>
  <c r="F72" i="155" s="1"/>
  <c r="F74" i="155" s="1"/>
  <c r="E67" i="155"/>
  <c r="E72" i="155" s="1"/>
  <c r="E74" i="155" s="1"/>
  <c r="D67" i="155"/>
  <c r="D72" i="155" s="1"/>
  <c r="D74" i="155" s="1"/>
  <c r="C67" i="155"/>
  <c r="C72" i="155" s="1"/>
  <c r="C74" i="155" s="1"/>
  <c r="B67" i="155"/>
  <c r="B72" i="155" s="1"/>
  <c r="B74" i="155" s="1"/>
  <c r="W66" i="155"/>
  <c r="W65" i="155"/>
  <c r="W64" i="155"/>
  <c r="W63" i="155"/>
  <c r="W62" i="155"/>
  <c r="W61" i="155"/>
  <c r="W60" i="155"/>
  <c r="T50" i="155"/>
  <c r="S50" i="155"/>
  <c r="R50" i="155"/>
  <c r="Q50" i="155"/>
  <c r="P50" i="155"/>
  <c r="O50" i="155"/>
  <c r="G50" i="155"/>
  <c r="F50" i="155"/>
  <c r="E50" i="155"/>
  <c r="D50" i="155"/>
  <c r="C50" i="155"/>
  <c r="T49" i="155"/>
  <c r="S49" i="155"/>
  <c r="R49" i="155"/>
  <c r="Q49" i="155"/>
  <c r="P49" i="155"/>
  <c r="O49" i="155"/>
  <c r="G49" i="155"/>
  <c r="F49" i="155"/>
  <c r="E49" i="155"/>
  <c r="D49" i="155"/>
  <c r="C49" i="155"/>
  <c r="B49" i="155"/>
  <c r="U48" i="155"/>
  <c r="H48" i="155"/>
  <c r="T46" i="155"/>
  <c r="T51" i="155" s="1"/>
  <c r="T53" i="155" s="1"/>
  <c r="S46" i="155"/>
  <c r="S51" i="155" s="1"/>
  <c r="S53" i="155" s="1"/>
  <c r="R46" i="155"/>
  <c r="R51" i="155" s="1"/>
  <c r="R53" i="155" s="1"/>
  <c r="Q46" i="155"/>
  <c r="Q51" i="155" s="1"/>
  <c r="Q53" i="155" s="1"/>
  <c r="P46" i="155"/>
  <c r="P51" i="155" s="1"/>
  <c r="P53" i="155" s="1"/>
  <c r="O46" i="155"/>
  <c r="O51" i="155" s="1"/>
  <c r="O53" i="155" s="1"/>
  <c r="G46" i="155"/>
  <c r="G51" i="155" s="1"/>
  <c r="G53" i="155" s="1"/>
  <c r="F46" i="155"/>
  <c r="F51" i="155" s="1"/>
  <c r="F53" i="155" s="1"/>
  <c r="E46" i="155"/>
  <c r="E51" i="155" s="1"/>
  <c r="E53" i="155" s="1"/>
  <c r="D46" i="155"/>
  <c r="D51" i="155" s="1"/>
  <c r="D53" i="155" s="1"/>
  <c r="C46" i="155"/>
  <c r="C51" i="155" s="1"/>
  <c r="C53" i="155" s="1"/>
  <c r="B46" i="155"/>
  <c r="U45" i="155"/>
  <c r="H45" i="155"/>
  <c r="U44" i="155"/>
  <c r="H44" i="155"/>
  <c r="U43" i="155"/>
  <c r="H43" i="155"/>
  <c r="U42" i="155"/>
  <c r="H42" i="155"/>
  <c r="U41" i="155"/>
  <c r="H41" i="155"/>
  <c r="U40" i="155"/>
  <c r="H40" i="155"/>
  <c r="U39" i="155"/>
  <c r="H39" i="155"/>
  <c r="V29" i="155"/>
  <c r="U29" i="155"/>
  <c r="T29" i="155"/>
  <c r="S29" i="155"/>
  <c r="R29" i="155"/>
  <c r="Q29" i="155"/>
  <c r="P29" i="155"/>
  <c r="O29" i="155"/>
  <c r="N29" i="155"/>
  <c r="M29" i="155"/>
  <c r="L29" i="155"/>
  <c r="K29" i="155"/>
  <c r="J29" i="155"/>
  <c r="I29" i="155"/>
  <c r="H29" i="155"/>
  <c r="G29" i="155"/>
  <c r="F29" i="155"/>
  <c r="E29" i="155"/>
  <c r="D29" i="155"/>
  <c r="C29" i="155"/>
  <c r="B29" i="155"/>
  <c r="V28" i="155"/>
  <c r="U28" i="155"/>
  <c r="T28" i="155"/>
  <c r="S28" i="155"/>
  <c r="R28" i="155"/>
  <c r="Q28" i="155"/>
  <c r="P28" i="155"/>
  <c r="O28" i="155"/>
  <c r="N28" i="155"/>
  <c r="M28" i="155"/>
  <c r="L28" i="155"/>
  <c r="K28" i="155"/>
  <c r="J28" i="155"/>
  <c r="I28" i="155"/>
  <c r="H28" i="155"/>
  <c r="G28" i="155"/>
  <c r="F28" i="155"/>
  <c r="E28" i="155"/>
  <c r="D28" i="155"/>
  <c r="C28" i="155"/>
  <c r="W27" i="155"/>
  <c r="V25" i="155"/>
  <c r="V30" i="155" s="1"/>
  <c r="V32" i="155" s="1"/>
  <c r="U25" i="155"/>
  <c r="U30" i="155" s="1"/>
  <c r="U32" i="155" s="1"/>
  <c r="T25" i="155"/>
  <c r="T30" i="155" s="1"/>
  <c r="T32" i="155" s="1"/>
  <c r="S25" i="155"/>
  <c r="S30" i="155" s="1"/>
  <c r="S32" i="155" s="1"/>
  <c r="R25" i="155"/>
  <c r="R30" i="155" s="1"/>
  <c r="R32" i="155" s="1"/>
  <c r="Q25" i="155"/>
  <c r="Q30" i="155" s="1"/>
  <c r="Q32" i="155" s="1"/>
  <c r="P25" i="155"/>
  <c r="P30" i="155" s="1"/>
  <c r="P32" i="155" s="1"/>
  <c r="O25" i="155"/>
  <c r="O30" i="155" s="1"/>
  <c r="O32" i="155" s="1"/>
  <c r="N25" i="155"/>
  <c r="N30" i="155" s="1"/>
  <c r="N32" i="155" s="1"/>
  <c r="M25" i="155"/>
  <c r="M30" i="155" s="1"/>
  <c r="M32" i="155" s="1"/>
  <c r="L25" i="155"/>
  <c r="L30" i="155" s="1"/>
  <c r="L32" i="155" s="1"/>
  <c r="K25" i="155"/>
  <c r="K30" i="155" s="1"/>
  <c r="K32" i="155" s="1"/>
  <c r="J25" i="155"/>
  <c r="J30" i="155" s="1"/>
  <c r="J32" i="155" s="1"/>
  <c r="I25" i="155"/>
  <c r="I30" i="155" s="1"/>
  <c r="I32" i="155" s="1"/>
  <c r="H25" i="155"/>
  <c r="H30" i="155" s="1"/>
  <c r="H32" i="155" s="1"/>
  <c r="G25" i="155"/>
  <c r="G30" i="155" s="1"/>
  <c r="G32" i="155" s="1"/>
  <c r="F25" i="155"/>
  <c r="F30" i="155" s="1"/>
  <c r="F32" i="155" s="1"/>
  <c r="E25" i="155"/>
  <c r="E30" i="155" s="1"/>
  <c r="E32" i="155" s="1"/>
  <c r="D25" i="155"/>
  <c r="D30" i="155" s="1"/>
  <c r="D32" i="155" s="1"/>
  <c r="C25" i="155"/>
  <c r="C30" i="155" s="1"/>
  <c r="C32" i="155" s="1"/>
  <c r="B25" i="155"/>
  <c r="B30" i="155" s="1"/>
  <c r="B32" i="155" s="1"/>
  <c r="W24" i="155"/>
  <c r="W23" i="155"/>
  <c r="W22" i="155"/>
  <c r="W21" i="155"/>
  <c r="W20" i="155"/>
  <c r="W19" i="155"/>
  <c r="W18" i="155"/>
  <c r="O73" i="155" l="1"/>
  <c r="J73" i="155"/>
  <c r="C73" i="155"/>
  <c r="E73" i="155"/>
  <c r="F73" i="155"/>
  <c r="B51" i="155"/>
  <c r="B53" i="155" s="1"/>
  <c r="B52" i="155"/>
  <c r="G73" i="155"/>
  <c r="S73" i="155"/>
  <c r="B31" i="155"/>
  <c r="K73" i="155"/>
  <c r="H73" i="155"/>
  <c r="I73" i="155"/>
  <c r="B73" i="155"/>
  <c r="N73" i="155"/>
  <c r="T73" i="155"/>
  <c r="N31" i="155"/>
  <c r="H72" i="155"/>
  <c r="H74" i="155" s="1"/>
  <c r="I72" i="155"/>
  <c r="I74" i="155" s="1"/>
  <c r="D73" i="155"/>
  <c r="P73" i="155"/>
  <c r="J72" i="155"/>
  <c r="J74" i="155" s="1"/>
  <c r="J31" i="155"/>
  <c r="V73" i="155"/>
  <c r="U73" i="155"/>
  <c r="T72" i="155"/>
  <c r="T74" i="155" s="1"/>
  <c r="R73" i="155"/>
  <c r="W67" i="155"/>
  <c r="W68" i="155" s="1"/>
  <c r="Q73" i="155"/>
  <c r="T52" i="155"/>
  <c r="S52" i="155"/>
  <c r="R52" i="155"/>
  <c r="Q52" i="155"/>
  <c r="P52" i="155"/>
  <c r="O52" i="155"/>
  <c r="U46" i="155"/>
  <c r="U49" i="155" s="1"/>
  <c r="G52" i="155"/>
  <c r="F52" i="155"/>
  <c r="E52" i="155"/>
  <c r="D52" i="155"/>
  <c r="C52" i="155"/>
  <c r="V31" i="155"/>
  <c r="U31" i="155"/>
  <c r="T31" i="155"/>
  <c r="S31" i="155"/>
  <c r="R31" i="155"/>
  <c r="Q31" i="155"/>
  <c r="M31" i="155"/>
  <c r="L31" i="155"/>
  <c r="K31" i="155"/>
  <c r="W25" i="155"/>
  <c r="W26" i="155" s="1"/>
  <c r="I31" i="155"/>
  <c r="H31" i="155"/>
  <c r="G31" i="155"/>
  <c r="F31" i="155"/>
  <c r="E31" i="155"/>
  <c r="C31" i="155"/>
  <c r="O31" i="155"/>
  <c r="L73" i="155"/>
  <c r="D31" i="155"/>
  <c r="P31" i="155"/>
  <c r="H46" i="155"/>
  <c r="M73" i="155"/>
  <c r="W70" i="155" l="1"/>
  <c r="U47" i="155"/>
  <c r="W28" i="155"/>
  <c r="H49" i="155"/>
  <c r="H47" i="155"/>
  <c r="T46" i="153" l="1"/>
  <c r="P49" i="153" l="1"/>
  <c r="Q49" i="153"/>
  <c r="R49" i="153"/>
  <c r="S49" i="153"/>
  <c r="T49" i="153"/>
  <c r="O49" i="153"/>
  <c r="V71" i="153" l="1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B71" i="153"/>
  <c r="V70" i="153"/>
  <c r="U70" i="153"/>
  <c r="T70" i="153"/>
  <c r="S70" i="153"/>
  <c r="R70" i="153"/>
  <c r="Q70" i="153"/>
  <c r="P70" i="153"/>
  <c r="O70" i="153"/>
  <c r="N70" i="153"/>
  <c r="M70" i="153"/>
  <c r="L70" i="153"/>
  <c r="K70" i="153"/>
  <c r="J70" i="153"/>
  <c r="I70" i="153"/>
  <c r="H70" i="153"/>
  <c r="G70" i="153"/>
  <c r="F70" i="153"/>
  <c r="E70" i="153"/>
  <c r="D70" i="153"/>
  <c r="C70" i="153"/>
  <c r="B70" i="153"/>
  <c r="W69" i="153"/>
  <c r="V67" i="153"/>
  <c r="V72" i="153" s="1"/>
  <c r="V74" i="153" s="1"/>
  <c r="U67" i="153"/>
  <c r="U72" i="153" s="1"/>
  <c r="U74" i="153" s="1"/>
  <c r="T67" i="153"/>
  <c r="S67" i="153"/>
  <c r="R67" i="153"/>
  <c r="R72" i="153" s="1"/>
  <c r="R74" i="153" s="1"/>
  <c r="Q67" i="153"/>
  <c r="Q72" i="153" s="1"/>
  <c r="Q74" i="153" s="1"/>
  <c r="P67" i="153"/>
  <c r="P72" i="153" s="1"/>
  <c r="P74" i="153" s="1"/>
  <c r="O67" i="153"/>
  <c r="O72" i="153" s="1"/>
  <c r="O74" i="153" s="1"/>
  <c r="N67" i="153"/>
  <c r="N72" i="153" s="1"/>
  <c r="N74" i="153" s="1"/>
  <c r="M67" i="153"/>
  <c r="M72" i="153" s="1"/>
  <c r="M74" i="153" s="1"/>
  <c r="L67" i="153"/>
  <c r="K67" i="153"/>
  <c r="J67" i="153"/>
  <c r="J72" i="153" s="1"/>
  <c r="J74" i="153" s="1"/>
  <c r="I67" i="153"/>
  <c r="I72" i="153" s="1"/>
  <c r="I74" i="153" s="1"/>
  <c r="H67" i="153"/>
  <c r="H72" i="153" s="1"/>
  <c r="H74" i="153" s="1"/>
  <c r="G67" i="153"/>
  <c r="F67" i="153"/>
  <c r="F72" i="153" s="1"/>
  <c r="F74" i="153" s="1"/>
  <c r="E67" i="153"/>
  <c r="E72" i="153" s="1"/>
  <c r="E74" i="153" s="1"/>
  <c r="D67" i="153"/>
  <c r="C67" i="153"/>
  <c r="B67" i="153"/>
  <c r="B72" i="153" s="1"/>
  <c r="B74" i="153" s="1"/>
  <c r="W66" i="153"/>
  <c r="W65" i="153"/>
  <c r="W64" i="153"/>
  <c r="W63" i="153"/>
  <c r="W62" i="153"/>
  <c r="W61" i="153"/>
  <c r="W60" i="153"/>
  <c r="T50" i="153"/>
  <c r="S50" i="153"/>
  <c r="R50" i="153"/>
  <c r="Q50" i="153"/>
  <c r="P50" i="153"/>
  <c r="O50" i="153"/>
  <c r="G50" i="153"/>
  <c r="F50" i="153"/>
  <c r="E50" i="153"/>
  <c r="D50" i="153"/>
  <c r="C50" i="153"/>
  <c r="B50" i="153"/>
  <c r="G49" i="153"/>
  <c r="F49" i="153"/>
  <c r="E49" i="153"/>
  <c r="D49" i="153"/>
  <c r="C49" i="153"/>
  <c r="B49" i="153"/>
  <c r="U48" i="153"/>
  <c r="H48" i="153"/>
  <c r="T51" i="153"/>
  <c r="T53" i="153" s="1"/>
  <c r="S46" i="153"/>
  <c r="S51" i="153" s="1"/>
  <c r="S53" i="153" s="1"/>
  <c r="R46" i="153"/>
  <c r="R51" i="153" s="1"/>
  <c r="R53" i="153" s="1"/>
  <c r="Q46" i="153"/>
  <c r="Q51" i="153" s="1"/>
  <c r="Q53" i="153" s="1"/>
  <c r="P46" i="153"/>
  <c r="P51" i="153" s="1"/>
  <c r="P53" i="153" s="1"/>
  <c r="O46" i="153"/>
  <c r="O51" i="153" s="1"/>
  <c r="O53" i="153" s="1"/>
  <c r="G46" i="153"/>
  <c r="G51" i="153" s="1"/>
  <c r="G53" i="153" s="1"/>
  <c r="F46" i="153"/>
  <c r="F51" i="153" s="1"/>
  <c r="F53" i="153" s="1"/>
  <c r="E46" i="153"/>
  <c r="E51" i="153" s="1"/>
  <c r="E53" i="153" s="1"/>
  <c r="D46" i="153"/>
  <c r="D51" i="153" s="1"/>
  <c r="D53" i="153" s="1"/>
  <c r="C46" i="153"/>
  <c r="C51" i="153" s="1"/>
  <c r="C53" i="153" s="1"/>
  <c r="B46" i="153"/>
  <c r="B51" i="153" s="1"/>
  <c r="B53" i="153" s="1"/>
  <c r="U45" i="153"/>
  <c r="H45" i="153"/>
  <c r="U44" i="153"/>
  <c r="H44" i="153"/>
  <c r="U43" i="153"/>
  <c r="H43" i="153"/>
  <c r="U42" i="153"/>
  <c r="H42" i="153"/>
  <c r="U41" i="153"/>
  <c r="H41" i="153"/>
  <c r="U40" i="153"/>
  <c r="H40" i="153"/>
  <c r="U39" i="153"/>
  <c r="H39" i="153"/>
  <c r="V29" i="153"/>
  <c r="U29" i="153"/>
  <c r="T29" i="153"/>
  <c r="S29" i="153"/>
  <c r="R29" i="153"/>
  <c r="Q29" i="153"/>
  <c r="P29" i="153"/>
  <c r="O29" i="153"/>
  <c r="N29" i="153"/>
  <c r="M29" i="153"/>
  <c r="L29" i="153"/>
  <c r="K29" i="153"/>
  <c r="J29" i="153"/>
  <c r="I29" i="153"/>
  <c r="H29" i="153"/>
  <c r="G29" i="153"/>
  <c r="F29" i="153"/>
  <c r="E29" i="153"/>
  <c r="D29" i="153"/>
  <c r="C29" i="153"/>
  <c r="B29" i="153"/>
  <c r="V28" i="153"/>
  <c r="U28" i="153"/>
  <c r="T28" i="153"/>
  <c r="S28" i="153"/>
  <c r="R28" i="153"/>
  <c r="Q28" i="153"/>
  <c r="P28" i="153"/>
  <c r="O28" i="153"/>
  <c r="N28" i="153"/>
  <c r="M28" i="153"/>
  <c r="L28" i="153"/>
  <c r="K28" i="153"/>
  <c r="J28" i="153"/>
  <c r="I28" i="153"/>
  <c r="H28" i="153"/>
  <c r="G28" i="153"/>
  <c r="F28" i="153"/>
  <c r="E28" i="153"/>
  <c r="D28" i="153"/>
  <c r="C28" i="153"/>
  <c r="B28" i="153"/>
  <c r="W27" i="153"/>
  <c r="V25" i="153"/>
  <c r="V30" i="153" s="1"/>
  <c r="V32" i="153" s="1"/>
  <c r="U25" i="153"/>
  <c r="U30" i="153" s="1"/>
  <c r="U32" i="153" s="1"/>
  <c r="T25" i="153"/>
  <c r="T30" i="153" s="1"/>
  <c r="T32" i="153" s="1"/>
  <c r="S25" i="153"/>
  <c r="R25" i="153"/>
  <c r="Q25" i="153"/>
  <c r="Q30" i="153" s="1"/>
  <c r="Q32" i="153" s="1"/>
  <c r="P25" i="153"/>
  <c r="P30" i="153" s="1"/>
  <c r="P32" i="153" s="1"/>
  <c r="O25" i="153"/>
  <c r="O30" i="153" s="1"/>
  <c r="O32" i="153" s="1"/>
  <c r="N25" i="153"/>
  <c r="M25" i="153"/>
  <c r="M30" i="153" s="1"/>
  <c r="M32" i="153" s="1"/>
  <c r="L25" i="153"/>
  <c r="L30" i="153" s="1"/>
  <c r="L32" i="153" s="1"/>
  <c r="K25" i="153"/>
  <c r="J25" i="153"/>
  <c r="I25" i="153"/>
  <c r="I30" i="153" s="1"/>
  <c r="I32" i="153" s="1"/>
  <c r="H25" i="153"/>
  <c r="H30" i="153" s="1"/>
  <c r="H32" i="153" s="1"/>
  <c r="G25" i="153"/>
  <c r="G30" i="153" s="1"/>
  <c r="G32" i="153" s="1"/>
  <c r="F25" i="153"/>
  <c r="F30" i="153" s="1"/>
  <c r="F32" i="153" s="1"/>
  <c r="E25" i="153"/>
  <c r="E30" i="153" s="1"/>
  <c r="E32" i="153" s="1"/>
  <c r="D25" i="153"/>
  <c r="D30" i="153" s="1"/>
  <c r="D32" i="153" s="1"/>
  <c r="C25" i="153"/>
  <c r="B25" i="153"/>
  <c r="W24" i="153"/>
  <c r="W23" i="153"/>
  <c r="W22" i="153"/>
  <c r="W21" i="153"/>
  <c r="W20" i="153"/>
  <c r="W19" i="153"/>
  <c r="W18" i="153"/>
  <c r="T73" i="153" l="1"/>
  <c r="K31" i="153"/>
  <c r="S73" i="153"/>
  <c r="B31" i="153"/>
  <c r="N31" i="153"/>
  <c r="C31" i="153"/>
  <c r="E52" i="153"/>
  <c r="F52" i="153"/>
  <c r="L73" i="153"/>
  <c r="R31" i="153"/>
  <c r="D73" i="153"/>
  <c r="K73" i="153"/>
  <c r="S31" i="153"/>
  <c r="C73" i="153"/>
  <c r="J31" i="153"/>
  <c r="G73" i="153"/>
  <c r="U73" i="153"/>
  <c r="E73" i="153"/>
  <c r="L72" i="153"/>
  <c r="L74" i="153" s="1"/>
  <c r="M73" i="153"/>
  <c r="H73" i="153"/>
  <c r="P73" i="153"/>
  <c r="C72" i="153"/>
  <c r="C74" i="153" s="1"/>
  <c r="S72" i="153"/>
  <c r="S74" i="153" s="1"/>
  <c r="I73" i="153"/>
  <c r="Q73" i="153"/>
  <c r="D72" i="153"/>
  <c r="D74" i="153" s="1"/>
  <c r="T72" i="153"/>
  <c r="T74" i="153" s="1"/>
  <c r="B73" i="153"/>
  <c r="J73" i="153"/>
  <c r="R73" i="153"/>
  <c r="W67" i="153"/>
  <c r="W70" i="153" s="1"/>
  <c r="K72" i="153"/>
  <c r="K74" i="153" s="1"/>
  <c r="G52" i="153"/>
  <c r="H46" i="153"/>
  <c r="H47" i="153" s="1"/>
  <c r="B52" i="153"/>
  <c r="C52" i="153"/>
  <c r="D52" i="153"/>
  <c r="Q52" i="153"/>
  <c r="P52" i="153"/>
  <c r="R52" i="153"/>
  <c r="S52" i="153"/>
  <c r="T52" i="153"/>
  <c r="U46" i="153"/>
  <c r="U47" i="153" s="1"/>
  <c r="O52" i="153"/>
  <c r="J30" i="153"/>
  <c r="J32" i="153" s="1"/>
  <c r="L31" i="153"/>
  <c r="T31" i="153"/>
  <c r="K30" i="153"/>
  <c r="K32" i="153" s="1"/>
  <c r="D31" i="153"/>
  <c r="G31" i="153"/>
  <c r="O31" i="153"/>
  <c r="B30" i="153"/>
  <c r="B32" i="153" s="1"/>
  <c r="R30" i="153"/>
  <c r="R32" i="153" s="1"/>
  <c r="H31" i="153"/>
  <c r="P31" i="153"/>
  <c r="C30" i="153"/>
  <c r="C32" i="153" s="1"/>
  <c r="S30" i="153"/>
  <c r="S32" i="153" s="1"/>
  <c r="I31" i="153"/>
  <c r="Q31" i="153"/>
  <c r="W25" i="153"/>
  <c r="W28" i="153" s="1"/>
  <c r="F31" i="153"/>
  <c r="O73" i="153"/>
  <c r="E31" i="153"/>
  <c r="M31" i="153"/>
  <c r="U31" i="153"/>
  <c r="F73" i="153"/>
  <c r="N73" i="153"/>
  <c r="V73" i="153"/>
  <c r="V31" i="153"/>
  <c r="N30" i="153"/>
  <c r="N32" i="153" s="1"/>
  <c r="G72" i="153"/>
  <c r="G74" i="153" s="1"/>
  <c r="O67" i="152"/>
  <c r="K67" i="152"/>
  <c r="H49" i="153" l="1"/>
  <c r="W68" i="153"/>
  <c r="U49" i="153"/>
  <c r="W26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B71" i="152"/>
  <c r="V70" i="152"/>
  <c r="U70" i="152"/>
  <c r="T70" i="152"/>
  <c r="S70" i="152"/>
  <c r="R70" i="152"/>
  <c r="Q70" i="152"/>
  <c r="P70" i="152"/>
  <c r="O70" i="152"/>
  <c r="N70" i="152"/>
  <c r="M70" i="152"/>
  <c r="L70" i="152"/>
  <c r="K70" i="152"/>
  <c r="J70" i="152"/>
  <c r="I70" i="152"/>
  <c r="H70" i="152"/>
  <c r="G70" i="152"/>
  <c r="F70" i="152"/>
  <c r="E70" i="152"/>
  <c r="D70" i="152"/>
  <c r="C70" i="152"/>
  <c r="B70" i="152"/>
  <c r="W69" i="152"/>
  <c r="V67" i="152"/>
  <c r="V72" i="152" s="1"/>
  <c r="V74" i="152" s="1"/>
  <c r="U67" i="152"/>
  <c r="U72" i="152" s="1"/>
  <c r="U74" i="152" s="1"/>
  <c r="T67" i="152"/>
  <c r="T72" i="152" s="1"/>
  <c r="T74" i="152" s="1"/>
  <c r="S67" i="152"/>
  <c r="S72" i="152" s="1"/>
  <c r="S74" i="152" s="1"/>
  <c r="R67" i="152"/>
  <c r="R72" i="152" s="1"/>
  <c r="R74" i="152" s="1"/>
  <c r="Q67" i="152"/>
  <c r="Q72" i="152" s="1"/>
  <c r="Q74" i="152" s="1"/>
  <c r="P67" i="152"/>
  <c r="P72" i="152" s="1"/>
  <c r="P74" i="152" s="1"/>
  <c r="O72" i="152"/>
  <c r="O74" i="152" s="1"/>
  <c r="N67" i="152"/>
  <c r="N72" i="152" s="1"/>
  <c r="N74" i="152" s="1"/>
  <c r="M67" i="152"/>
  <c r="M72" i="152" s="1"/>
  <c r="M74" i="152" s="1"/>
  <c r="L67" i="152"/>
  <c r="K72" i="152"/>
  <c r="K74" i="152" s="1"/>
  <c r="J67" i="152"/>
  <c r="J72" i="152" s="1"/>
  <c r="J74" i="152" s="1"/>
  <c r="I67" i="152"/>
  <c r="I72" i="152" s="1"/>
  <c r="I74" i="152" s="1"/>
  <c r="H67" i="152"/>
  <c r="H72" i="152" s="1"/>
  <c r="H74" i="152" s="1"/>
  <c r="G67" i="152"/>
  <c r="G72" i="152" s="1"/>
  <c r="G74" i="152" s="1"/>
  <c r="F67" i="152"/>
  <c r="F72" i="152" s="1"/>
  <c r="F74" i="152" s="1"/>
  <c r="E67" i="152"/>
  <c r="E72" i="152" s="1"/>
  <c r="E74" i="152" s="1"/>
  <c r="D67" i="152"/>
  <c r="D72" i="152" s="1"/>
  <c r="D74" i="152" s="1"/>
  <c r="C67" i="152"/>
  <c r="C72" i="152" s="1"/>
  <c r="C74" i="152" s="1"/>
  <c r="B67" i="152"/>
  <c r="B72" i="152" s="1"/>
  <c r="B74" i="152" s="1"/>
  <c r="W66" i="152"/>
  <c r="W65" i="152"/>
  <c r="W64" i="152"/>
  <c r="W63" i="152"/>
  <c r="W62" i="152"/>
  <c r="W61" i="152"/>
  <c r="W60" i="152"/>
  <c r="T50" i="152"/>
  <c r="S50" i="152"/>
  <c r="R50" i="152"/>
  <c r="Q50" i="152"/>
  <c r="P50" i="152"/>
  <c r="O50" i="152"/>
  <c r="G50" i="152"/>
  <c r="F50" i="152"/>
  <c r="E50" i="152"/>
  <c r="D50" i="152"/>
  <c r="C50" i="152"/>
  <c r="B50" i="152"/>
  <c r="T49" i="152"/>
  <c r="S49" i="152"/>
  <c r="R49" i="152"/>
  <c r="Q49" i="152"/>
  <c r="P49" i="152"/>
  <c r="O49" i="152"/>
  <c r="G49" i="152"/>
  <c r="F49" i="152"/>
  <c r="E49" i="152"/>
  <c r="D49" i="152"/>
  <c r="C49" i="152"/>
  <c r="B49" i="152"/>
  <c r="U48" i="152"/>
  <c r="H48" i="152"/>
  <c r="T46" i="152"/>
  <c r="S46" i="152"/>
  <c r="S51" i="152" s="1"/>
  <c r="S53" i="152" s="1"/>
  <c r="R46" i="152"/>
  <c r="R51" i="152" s="1"/>
  <c r="R53" i="152" s="1"/>
  <c r="Q46" i="152"/>
  <c r="Q51" i="152" s="1"/>
  <c r="Q53" i="152" s="1"/>
  <c r="P46" i="152"/>
  <c r="P51" i="152" s="1"/>
  <c r="P53" i="152" s="1"/>
  <c r="O46" i="152"/>
  <c r="O51" i="152" s="1"/>
  <c r="O53" i="152" s="1"/>
  <c r="G46" i="152"/>
  <c r="G51" i="152" s="1"/>
  <c r="G53" i="152" s="1"/>
  <c r="F46" i="152"/>
  <c r="F51" i="152" s="1"/>
  <c r="F53" i="152" s="1"/>
  <c r="E46" i="152"/>
  <c r="E51" i="152" s="1"/>
  <c r="E53" i="152" s="1"/>
  <c r="D46" i="152"/>
  <c r="D51" i="152" s="1"/>
  <c r="D53" i="152" s="1"/>
  <c r="C46" i="152"/>
  <c r="C51" i="152" s="1"/>
  <c r="C53" i="152" s="1"/>
  <c r="B46" i="152"/>
  <c r="B51" i="152" s="1"/>
  <c r="B53" i="152" s="1"/>
  <c r="U45" i="152"/>
  <c r="H45" i="152"/>
  <c r="U44" i="152"/>
  <c r="H44" i="152"/>
  <c r="U43" i="152"/>
  <c r="H43" i="152"/>
  <c r="U42" i="152"/>
  <c r="H42" i="152"/>
  <c r="U41" i="152"/>
  <c r="H41" i="152"/>
  <c r="U40" i="152"/>
  <c r="H40" i="152"/>
  <c r="U39" i="152"/>
  <c r="H39" i="152"/>
  <c r="V29" i="152"/>
  <c r="U29" i="152"/>
  <c r="T29" i="152"/>
  <c r="S29" i="152"/>
  <c r="R29" i="152"/>
  <c r="Q29" i="152"/>
  <c r="P29" i="152"/>
  <c r="O29" i="152"/>
  <c r="N29" i="152"/>
  <c r="M29" i="152"/>
  <c r="L29" i="152"/>
  <c r="K29" i="152"/>
  <c r="J29" i="152"/>
  <c r="I29" i="152"/>
  <c r="H29" i="152"/>
  <c r="G29" i="152"/>
  <c r="F29" i="152"/>
  <c r="E29" i="152"/>
  <c r="D29" i="152"/>
  <c r="C29" i="152"/>
  <c r="B29" i="152"/>
  <c r="V28" i="152"/>
  <c r="U28" i="152"/>
  <c r="T28" i="152"/>
  <c r="S28" i="152"/>
  <c r="R28" i="152"/>
  <c r="Q28" i="152"/>
  <c r="P28" i="152"/>
  <c r="O28" i="152"/>
  <c r="N28" i="152"/>
  <c r="M28" i="152"/>
  <c r="L28" i="152"/>
  <c r="K28" i="152"/>
  <c r="J28" i="152"/>
  <c r="I28" i="152"/>
  <c r="H28" i="152"/>
  <c r="G28" i="152"/>
  <c r="F28" i="152"/>
  <c r="E28" i="152"/>
  <c r="D28" i="152"/>
  <c r="C28" i="152"/>
  <c r="B28" i="152"/>
  <c r="W27" i="152"/>
  <c r="V25" i="152"/>
  <c r="V30" i="152" s="1"/>
  <c r="V32" i="152" s="1"/>
  <c r="U25" i="152"/>
  <c r="U30" i="152" s="1"/>
  <c r="U32" i="152" s="1"/>
  <c r="T25" i="152"/>
  <c r="T30" i="152" s="1"/>
  <c r="T32" i="152" s="1"/>
  <c r="S25" i="152"/>
  <c r="S30" i="152" s="1"/>
  <c r="S32" i="152" s="1"/>
  <c r="R25" i="152"/>
  <c r="R30" i="152" s="1"/>
  <c r="R32" i="152" s="1"/>
  <c r="Q25" i="152"/>
  <c r="Q30" i="152" s="1"/>
  <c r="Q32" i="152" s="1"/>
  <c r="P25" i="152"/>
  <c r="P30" i="152" s="1"/>
  <c r="P32" i="152" s="1"/>
  <c r="O25" i="152"/>
  <c r="O30" i="152" s="1"/>
  <c r="O32" i="152" s="1"/>
  <c r="N25" i="152"/>
  <c r="N30" i="152" s="1"/>
  <c r="N32" i="152" s="1"/>
  <c r="M25" i="152"/>
  <c r="M30" i="152" s="1"/>
  <c r="M32" i="152" s="1"/>
  <c r="L25" i="152"/>
  <c r="L30" i="152" s="1"/>
  <c r="L32" i="152" s="1"/>
  <c r="K25" i="152"/>
  <c r="K30" i="152" s="1"/>
  <c r="K32" i="152" s="1"/>
  <c r="J25" i="152"/>
  <c r="J30" i="152" s="1"/>
  <c r="J32" i="152" s="1"/>
  <c r="I25" i="152"/>
  <c r="I30" i="152" s="1"/>
  <c r="I32" i="152" s="1"/>
  <c r="H25" i="152"/>
  <c r="H30" i="152" s="1"/>
  <c r="H32" i="152" s="1"/>
  <c r="G25" i="152"/>
  <c r="G30" i="152" s="1"/>
  <c r="G32" i="152" s="1"/>
  <c r="F25" i="152"/>
  <c r="F30" i="152" s="1"/>
  <c r="F32" i="152" s="1"/>
  <c r="E25" i="152"/>
  <c r="E30" i="152" s="1"/>
  <c r="E32" i="152" s="1"/>
  <c r="D25" i="152"/>
  <c r="D30" i="152" s="1"/>
  <c r="D32" i="152" s="1"/>
  <c r="C25" i="152"/>
  <c r="C30" i="152" s="1"/>
  <c r="C32" i="152" s="1"/>
  <c r="B25" i="152"/>
  <c r="W24" i="152"/>
  <c r="W23" i="152"/>
  <c r="W22" i="152"/>
  <c r="W21" i="152"/>
  <c r="W20" i="152"/>
  <c r="W19" i="152"/>
  <c r="W18" i="152"/>
  <c r="L72" i="152" l="1"/>
  <c r="L74" i="152" s="1"/>
  <c r="L73" i="152"/>
  <c r="R73" i="152"/>
  <c r="H73" i="152"/>
  <c r="F73" i="152"/>
  <c r="P52" i="152"/>
  <c r="S73" i="152"/>
  <c r="G73" i="152"/>
  <c r="T73" i="152"/>
  <c r="O52" i="152"/>
  <c r="R52" i="152"/>
  <c r="T52" i="152"/>
  <c r="U73" i="152"/>
  <c r="U46" i="152"/>
  <c r="U49" i="152" s="1"/>
  <c r="Q31" i="152"/>
  <c r="S31" i="152"/>
  <c r="D31" i="152"/>
  <c r="R31" i="152"/>
  <c r="B73" i="152"/>
  <c r="N73" i="152"/>
  <c r="Q52" i="152"/>
  <c r="C73" i="152"/>
  <c r="O73" i="152"/>
  <c r="W67" i="152"/>
  <c r="W68" i="152" s="1"/>
  <c r="D73" i="152"/>
  <c r="P73" i="152"/>
  <c r="S52" i="152"/>
  <c r="E73" i="152"/>
  <c r="Q73" i="152"/>
  <c r="I73" i="152"/>
  <c r="I31" i="152"/>
  <c r="U31" i="152"/>
  <c r="J73" i="152"/>
  <c r="V73" i="152"/>
  <c r="K31" i="152"/>
  <c r="L31" i="152"/>
  <c r="M73" i="152"/>
  <c r="B31" i="152"/>
  <c r="G52" i="152"/>
  <c r="F52" i="152"/>
  <c r="E52" i="152"/>
  <c r="D52" i="152"/>
  <c r="C52" i="152"/>
  <c r="B52" i="152"/>
  <c r="V31" i="152"/>
  <c r="T31" i="152"/>
  <c r="P31" i="152"/>
  <c r="M31" i="152"/>
  <c r="J31" i="152"/>
  <c r="H31" i="152"/>
  <c r="G31" i="152"/>
  <c r="F31" i="152"/>
  <c r="E31" i="152"/>
  <c r="W25" i="152"/>
  <c r="W26" i="152" s="1"/>
  <c r="N31" i="152"/>
  <c r="K73" i="152"/>
  <c r="C31" i="152"/>
  <c r="O31" i="152"/>
  <c r="H46" i="152"/>
  <c r="B30" i="152"/>
  <c r="B32" i="152" s="1"/>
  <c r="T51" i="152"/>
  <c r="T53" i="152" s="1"/>
  <c r="U47" i="152" l="1"/>
  <c r="W70" i="152"/>
  <c r="W28" i="152"/>
  <c r="H47" i="152"/>
  <c r="H49" i="152"/>
  <c r="C49" i="150" l="1"/>
  <c r="D49" i="150"/>
  <c r="E49" i="150"/>
  <c r="F49" i="150"/>
  <c r="G49" i="150"/>
  <c r="B49" i="150"/>
  <c r="C70" i="150"/>
  <c r="D70" i="150"/>
  <c r="E70" i="150"/>
  <c r="F70" i="150"/>
  <c r="G70" i="150"/>
  <c r="H70" i="150"/>
  <c r="I70" i="150"/>
  <c r="J70" i="150"/>
  <c r="K70" i="150"/>
  <c r="L70" i="150"/>
  <c r="M70" i="150"/>
  <c r="N70" i="150"/>
  <c r="O70" i="150"/>
  <c r="P70" i="150"/>
  <c r="Q70" i="150"/>
  <c r="R70" i="150"/>
  <c r="S70" i="150"/>
  <c r="T70" i="150"/>
  <c r="U70" i="150"/>
  <c r="V70" i="150"/>
  <c r="B70" i="150"/>
  <c r="B25" i="150"/>
  <c r="B30" i="150" s="1"/>
  <c r="B32" i="150" s="1"/>
  <c r="C28" i="150"/>
  <c r="D28" i="150"/>
  <c r="E28" i="150"/>
  <c r="F28" i="150"/>
  <c r="G28" i="150"/>
  <c r="H28" i="150"/>
  <c r="I28" i="150"/>
  <c r="J28" i="150"/>
  <c r="K28" i="150"/>
  <c r="L28" i="150"/>
  <c r="M28" i="150"/>
  <c r="N28" i="150"/>
  <c r="O28" i="150"/>
  <c r="P28" i="150"/>
  <c r="Q28" i="150"/>
  <c r="R28" i="150"/>
  <c r="S28" i="150"/>
  <c r="T28" i="150"/>
  <c r="U28" i="150"/>
  <c r="V28" i="150"/>
  <c r="B28" i="150"/>
  <c r="V71" i="150"/>
  <c r="U71" i="150"/>
  <c r="T71" i="150"/>
  <c r="S71" i="150"/>
  <c r="R71" i="150"/>
  <c r="Q71" i="150"/>
  <c r="P71" i="150"/>
  <c r="O71" i="150"/>
  <c r="N71" i="150"/>
  <c r="M71" i="150"/>
  <c r="L71" i="150"/>
  <c r="K71" i="150"/>
  <c r="J71" i="150"/>
  <c r="I71" i="150"/>
  <c r="H71" i="150"/>
  <c r="G71" i="150"/>
  <c r="F71" i="150"/>
  <c r="E71" i="150"/>
  <c r="D71" i="150"/>
  <c r="C71" i="150"/>
  <c r="B71" i="150"/>
  <c r="W69" i="150"/>
  <c r="V67" i="150"/>
  <c r="V72" i="150" s="1"/>
  <c r="V74" i="150" s="1"/>
  <c r="U67" i="150"/>
  <c r="U72" i="150" s="1"/>
  <c r="U74" i="150" s="1"/>
  <c r="T67" i="150"/>
  <c r="T72" i="150" s="1"/>
  <c r="T74" i="150" s="1"/>
  <c r="S67" i="150"/>
  <c r="S72" i="150" s="1"/>
  <c r="S74" i="150" s="1"/>
  <c r="R67" i="150"/>
  <c r="R72" i="150" s="1"/>
  <c r="R74" i="150" s="1"/>
  <c r="Q67" i="150"/>
  <c r="Q72" i="150" s="1"/>
  <c r="Q74" i="150" s="1"/>
  <c r="P67" i="150"/>
  <c r="P72" i="150" s="1"/>
  <c r="P74" i="150" s="1"/>
  <c r="O67" i="150"/>
  <c r="O72" i="150" s="1"/>
  <c r="O74" i="150" s="1"/>
  <c r="N67" i="150"/>
  <c r="N72" i="150" s="1"/>
  <c r="N74" i="150" s="1"/>
  <c r="M67" i="150"/>
  <c r="M72" i="150" s="1"/>
  <c r="M74" i="150" s="1"/>
  <c r="L67" i="150"/>
  <c r="L72" i="150" s="1"/>
  <c r="L74" i="150" s="1"/>
  <c r="K67" i="150"/>
  <c r="K72" i="150" s="1"/>
  <c r="K74" i="150" s="1"/>
  <c r="J67" i="150"/>
  <c r="J72" i="150" s="1"/>
  <c r="J74" i="150" s="1"/>
  <c r="I67" i="150"/>
  <c r="I72" i="150" s="1"/>
  <c r="I74" i="150" s="1"/>
  <c r="H67" i="150"/>
  <c r="H72" i="150" s="1"/>
  <c r="H74" i="150" s="1"/>
  <c r="G67" i="150"/>
  <c r="G72" i="150" s="1"/>
  <c r="G74" i="150" s="1"/>
  <c r="F67" i="150"/>
  <c r="F72" i="150" s="1"/>
  <c r="F74" i="150" s="1"/>
  <c r="E67" i="150"/>
  <c r="D67" i="150"/>
  <c r="D72" i="150" s="1"/>
  <c r="D74" i="150" s="1"/>
  <c r="C67" i="150"/>
  <c r="C72" i="150" s="1"/>
  <c r="C74" i="150" s="1"/>
  <c r="B67" i="150"/>
  <c r="B72" i="150" s="1"/>
  <c r="B74" i="150" s="1"/>
  <c r="W66" i="150"/>
  <c r="W65" i="150"/>
  <c r="W64" i="150"/>
  <c r="W63" i="150"/>
  <c r="W62" i="150"/>
  <c r="W61" i="150"/>
  <c r="W60" i="150"/>
  <c r="T50" i="150"/>
  <c r="S50" i="150"/>
  <c r="R50" i="150"/>
  <c r="Q50" i="150"/>
  <c r="P50" i="150"/>
  <c r="O50" i="150"/>
  <c r="G50" i="150"/>
  <c r="F50" i="150"/>
  <c r="E50" i="150"/>
  <c r="D50" i="150"/>
  <c r="C50" i="150"/>
  <c r="B50" i="150"/>
  <c r="T49" i="150"/>
  <c r="S49" i="150"/>
  <c r="R49" i="150"/>
  <c r="Q49" i="150"/>
  <c r="P49" i="150"/>
  <c r="O49" i="150"/>
  <c r="U48" i="150"/>
  <c r="H48" i="150"/>
  <c r="T46" i="150"/>
  <c r="T51" i="150" s="1"/>
  <c r="T53" i="150" s="1"/>
  <c r="S46" i="150"/>
  <c r="S51" i="150" s="1"/>
  <c r="S53" i="150" s="1"/>
  <c r="R46" i="150"/>
  <c r="R51" i="150" s="1"/>
  <c r="R53" i="150" s="1"/>
  <c r="Q46" i="150"/>
  <c r="Q51" i="150" s="1"/>
  <c r="Q53" i="150" s="1"/>
  <c r="P46" i="150"/>
  <c r="P51" i="150" s="1"/>
  <c r="P53" i="150" s="1"/>
  <c r="O46" i="150"/>
  <c r="G46" i="150"/>
  <c r="G51" i="150" s="1"/>
  <c r="G53" i="150" s="1"/>
  <c r="F46" i="150"/>
  <c r="F51" i="150" s="1"/>
  <c r="F53" i="150" s="1"/>
  <c r="E46" i="150"/>
  <c r="E51" i="150" s="1"/>
  <c r="E53" i="150" s="1"/>
  <c r="D46" i="150"/>
  <c r="D51" i="150" s="1"/>
  <c r="D53" i="150" s="1"/>
  <c r="C46" i="150"/>
  <c r="C51" i="150" s="1"/>
  <c r="C53" i="150" s="1"/>
  <c r="B46" i="150"/>
  <c r="B51" i="150" s="1"/>
  <c r="B53" i="150" s="1"/>
  <c r="U45" i="150"/>
  <c r="H45" i="150"/>
  <c r="U44" i="150"/>
  <c r="H44" i="150"/>
  <c r="U43" i="150"/>
  <c r="H43" i="150"/>
  <c r="U42" i="150"/>
  <c r="H42" i="150"/>
  <c r="U41" i="150"/>
  <c r="H41" i="150"/>
  <c r="U40" i="150"/>
  <c r="H40" i="150"/>
  <c r="U39" i="150"/>
  <c r="H39" i="150"/>
  <c r="V29" i="150"/>
  <c r="U29" i="150"/>
  <c r="T29" i="150"/>
  <c r="S29" i="150"/>
  <c r="R29" i="150"/>
  <c r="Q29" i="150"/>
  <c r="P29" i="150"/>
  <c r="O29" i="150"/>
  <c r="N29" i="150"/>
  <c r="M29" i="150"/>
  <c r="L29" i="150"/>
  <c r="K29" i="150"/>
  <c r="J29" i="150"/>
  <c r="I29" i="150"/>
  <c r="H29" i="150"/>
  <c r="G29" i="150"/>
  <c r="F29" i="150"/>
  <c r="E29" i="150"/>
  <c r="D29" i="150"/>
  <c r="C29" i="150"/>
  <c r="B29" i="150"/>
  <c r="W27" i="150"/>
  <c r="V25" i="150"/>
  <c r="V30" i="150" s="1"/>
  <c r="V32" i="150" s="1"/>
  <c r="U25" i="150"/>
  <c r="U30" i="150" s="1"/>
  <c r="U32" i="150" s="1"/>
  <c r="T25" i="150"/>
  <c r="T30" i="150" s="1"/>
  <c r="T32" i="150" s="1"/>
  <c r="S25" i="150"/>
  <c r="S30" i="150" s="1"/>
  <c r="S32" i="150" s="1"/>
  <c r="R25" i="150"/>
  <c r="R30" i="150" s="1"/>
  <c r="R32" i="150" s="1"/>
  <c r="Q25" i="150"/>
  <c r="Q30" i="150" s="1"/>
  <c r="Q32" i="150" s="1"/>
  <c r="P25" i="150"/>
  <c r="P30" i="150" s="1"/>
  <c r="P32" i="150" s="1"/>
  <c r="O25" i="150"/>
  <c r="O30" i="150" s="1"/>
  <c r="O32" i="150" s="1"/>
  <c r="N25" i="150"/>
  <c r="N30" i="150" s="1"/>
  <c r="N32" i="150" s="1"/>
  <c r="M25" i="150"/>
  <c r="M30" i="150" s="1"/>
  <c r="M32" i="150" s="1"/>
  <c r="L25" i="150"/>
  <c r="L30" i="150" s="1"/>
  <c r="L32" i="150" s="1"/>
  <c r="K25" i="150"/>
  <c r="K30" i="150" s="1"/>
  <c r="K32" i="150" s="1"/>
  <c r="J25" i="150"/>
  <c r="J30" i="150" s="1"/>
  <c r="J32" i="150" s="1"/>
  <c r="I25" i="150"/>
  <c r="I30" i="150" s="1"/>
  <c r="I32" i="150" s="1"/>
  <c r="H25" i="150"/>
  <c r="H30" i="150" s="1"/>
  <c r="H32" i="150" s="1"/>
  <c r="G25" i="150"/>
  <c r="G30" i="150" s="1"/>
  <c r="G32" i="150" s="1"/>
  <c r="F25" i="150"/>
  <c r="F30" i="150" s="1"/>
  <c r="F32" i="150" s="1"/>
  <c r="E25" i="150"/>
  <c r="E30" i="150" s="1"/>
  <c r="E32" i="150" s="1"/>
  <c r="D25" i="150"/>
  <c r="D30" i="150" s="1"/>
  <c r="D32" i="150" s="1"/>
  <c r="C25" i="150"/>
  <c r="C30" i="150" s="1"/>
  <c r="C32" i="150" s="1"/>
  <c r="W24" i="150"/>
  <c r="W23" i="150"/>
  <c r="W22" i="150"/>
  <c r="W21" i="150"/>
  <c r="W20" i="150"/>
  <c r="W19" i="150"/>
  <c r="W18" i="150"/>
  <c r="H73" i="150" l="1"/>
  <c r="I73" i="150"/>
  <c r="U73" i="150"/>
  <c r="T52" i="150"/>
  <c r="R73" i="150"/>
  <c r="S73" i="150"/>
  <c r="T73" i="150"/>
  <c r="B52" i="150"/>
  <c r="F73" i="150"/>
  <c r="J31" i="150"/>
  <c r="G73" i="150"/>
  <c r="C52" i="150"/>
  <c r="H31" i="150"/>
  <c r="J73" i="150"/>
  <c r="V73" i="150"/>
  <c r="K73" i="150"/>
  <c r="O52" i="150"/>
  <c r="P52" i="150"/>
  <c r="Q52" i="150"/>
  <c r="N73" i="150"/>
  <c r="R52" i="150"/>
  <c r="C73" i="150"/>
  <c r="O73" i="150"/>
  <c r="U46" i="150"/>
  <c r="U47" i="150" s="1"/>
  <c r="S52" i="150"/>
  <c r="O51" i="150"/>
  <c r="O53" i="150" s="1"/>
  <c r="D73" i="150"/>
  <c r="P73" i="150"/>
  <c r="E72" i="150"/>
  <c r="E74" i="150" s="1"/>
  <c r="N31" i="150"/>
  <c r="F52" i="150"/>
  <c r="E73" i="150"/>
  <c r="Q73" i="150"/>
  <c r="G52" i="150"/>
  <c r="E52" i="150"/>
  <c r="D52" i="150"/>
  <c r="W67" i="150"/>
  <c r="W70" i="150" s="1"/>
  <c r="B73" i="150"/>
  <c r="V31" i="150"/>
  <c r="U31" i="150"/>
  <c r="T31" i="150"/>
  <c r="S31" i="150"/>
  <c r="R31" i="150"/>
  <c r="Q31" i="150"/>
  <c r="M31" i="150"/>
  <c r="L31" i="150"/>
  <c r="K31" i="150"/>
  <c r="I31" i="150"/>
  <c r="G31" i="150"/>
  <c r="F31" i="150"/>
  <c r="E31" i="150"/>
  <c r="W25" i="150"/>
  <c r="W26" i="150" s="1"/>
  <c r="B31" i="150"/>
  <c r="C31" i="150"/>
  <c r="L73" i="150"/>
  <c r="D31" i="150"/>
  <c r="O31" i="150"/>
  <c r="P31" i="150"/>
  <c r="H46" i="150"/>
  <c r="M73" i="150"/>
  <c r="C70" i="149"/>
  <c r="D70" i="149"/>
  <c r="E70" i="149"/>
  <c r="F70" i="149"/>
  <c r="G70" i="149"/>
  <c r="H70" i="149"/>
  <c r="I70" i="149"/>
  <c r="J70" i="149"/>
  <c r="K70" i="149"/>
  <c r="L70" i="149"/>
  <c r="M70" i="149"/>
  <c r="N70" i="149"/>
  <c r="O70" i="149"/>
  <c r="P70" i="149"/>
  <c r="Q70" i="149"/>
  <c r="R70" i="149"/>
  <c r="S70" i="149"/>
  <c r="T70" i="149"/>
  <c r="U70" i="149"/>
  <c r="V70" i="149"/>
  <c r="B70" i="149"/>
  <c r="Q49" i="149"/>
  <c r="R49" i="149"/>
  <c r="S49" i="149"/>
  <c r="T49" i="149"/>
  <c r="P49" i="149"/>
  <c r="U49" i="150" l="1"/>
  <c r="W68" i="150"/>
  <c r="W28" i="150"/>
  <c r="H49" i="150"/>
  <c r="H47" i="150"/>
  <c r="V71" i="149"/>
  <c r="U71" i="149"/>
  <c r="T71" i="149"/>
  <c r="S71" i="149"/>
  <c r="R71" i="149"/>
  <c r="Q71" i="149"/>
  <c r="P71" i="149"/>
  <c r="O71" i="149"/>
  <c r="N71" i="149"/>
  <c r="M71" i="149"/>
  <c r="L71" i="149"/>
  <c r="K71" i="149"/>
  <c r="J71" i="149"/>
  <c r="I71" i="149"/>
  <c r="H71" i="149"/>
  <c r="G71" i="149"/>
  <c r="F71" i="149"/>
  <c r="E71" i="149"/>
  <c r="D71" i="149"/>
  <c r="C71" i="149"/>
  <c r="B71" i="149"/>
  <c r="W69" i="149"/>
  <c r="V67" i="149"/>
  <c r="V72" i="149" s="1"/>
  <c r="V74" i="149" s="1"/>
  <c r="U67" i="149"/>
  <c r="U72" i="149" s="1"/>
  <c r="U74" i="149" s="1"/>
  <c r="T67" i="149"/>
  <c r="T72" i="149" s="1"/>
  <c r="T74" i="149" s="1"/>
  <c r="S67" i="149"/>
  <c r="S72" i="149" s="1"/>
  <c r="S74" i="149" s="1"/>
  <c r="R67" i="149"/>
  <c r="Q67" i="149"/>
  <c r="Q72" i="149" s="1"/>
  <c r="Q74" i="149" s="1"/>
  <c r="P67" i="149"/>
  <c r="O67" i="149"/>
  <c r="O72" i="149" s="1"/>
  <c r="O74" i="149" s="1"/>
  <c r="N67" i="149"/>
  <c r="N72" i="149" s="1"/>
  <c r="N74" i="149" s="1"/>
  <c r="M67" i="149"/>
  <c r="M72" i="149" s="1"/>
  <c r="M74" i="149" s="1"/>
  <c r="L67" i="149"/>
  <c r="L72" i="149" s="1"/>
  <c r="L74" i="149" s="1"/>
  <c r="K67" i="149"/>
  <c r="K72" i="149" s="1"/>
  <c r="K74" i="149" s="1"/>
  <c r="J67" i="149"/>
  <c r="I67" i="149"/>
  <c r="I72" i="149" s="1"/>
  <c r="I74" i="149" s="1"/>
  <c r="H67" i="149"/>
  <c r="G67" i="149"/>
  <c r="G72" i="149" s="1"/>
  <c r="G74" i="149" s="1"/>
  <c r="F67" i="149"/>
  <c r="F72" i="149" s="1"/>
  <c r="F74" i="149" s="1"/>
  <c r="E67" i="149"/>
  <c r="E72" i="149" s="1"/>
  <c r="E74" i="149" s="1"/>
  <c r="D67" i="149"/>
  <c r="D72" i="149" s="1"/>
  <c r="D74" i="149" s="1"/>
  <c r="C67" i="149"/>
  <c r="C72" i="149" s="1"/>
  <c r="C74" i="149" s="1"/>
  <c r="B67" i="149"/>
  <c r="W66" i="149"/>
  <c r="W65" i="149"/>
  <c r="W64" i="149"/>
  <c r="W63" i="149"/>
  <c r="W62" i="149"/>
  <c r="W61" i="149"/>
  <c r="W60" i="149"/>
  <c r="T50" i="149"/>
  <c r="S50" i="149"/>
  <c r="R50" i="149"/>
  <c r="Q50" i="149"/>
  <c r="P50" i="149"/>
  <c r="O50" i="149"/>
  <c r="G50" i="149"/>
  <c r="F50" i="149"/>
  <c r="E50" i="149"/>
  <c r="D50" i="149"/>
  <c r="C50" i="149"/>
  <c r="B50" i="149"/>
  <c r="O49" i="149"/>
  <c r="G49" i="149"/>
  <c r="F49" i="149"/>
  <c r="E49" i="149"/>
  <c r="D49" i="149"/>
  <c r="C49" i="149"/>
  <c r="B49" i="149"/>
  <c r="U48" i="149"/>
  <c r="H48" i="149"/>
  <c r="T46" i="149"/>
  <c r="T51" i="149" s="1"/>
  <c r="T53" i="149" s="1"/>
  <c r="S46" i="149"/>
  <c r="S51" i="149" s="1"/>
  <c r="S53" i="149" s="1"/>
  <c r="R46" i="149"/>
  <c r="R51" i="149" s="1"/>
  <c r="R53" i="149" s="1"/>
  <c r="Q46" i="149"/>
  <c r="Q51" i="149" s="1"/>
  <c r="Q53" i="149" s="1"/>
  <c r="P46" i="149"/>
  <c r="P51" i="149" s="1"/>
  <c r="P53" i="149" s="1"/>
  <c r="O46" i="149"/>
  <c r="G46" i="149"/>
  <c r="G51" i="149" s="1"/>
  <c r="G53" i="149" s="1"/>
  <c r="F46" i="149"/>
  <c r="F51" i="149" s="1"/>
  <c r="F53" i="149" s="1"/>
  <c r="E46" i="149"/>
  <c r="E51" i="149" s="1"/>
  <c r="E53" i="149" s="1"/>
  <c r="D46" i="149"/>
  <c r="D51" i="149" s="1"/>
  <c r="D53" i="149" s="1"/>
  <c r="C46" i="149"/>
  <c r="C51" i="149" s="1"/>
  <c r="C53" i="149" s="1"/>
  <c r="B46" i="149"/>
  <c r="B51" i="149" s="1"/>
  <c r="B53" i="149" s="1"/>
  <c r="U45" i="149"/>
  <c r="H45" i="149"/>
  <c r="U44" i="149"/>
  <c r="H44" i="149"/>
  <c r="U43" i="149"/>
  <c r="H43" i="149"/>
  <c r="U42" i="149"/>
  <c r="H42" i="149"/>
  <c r="U41" i="149"/>
  <c r="H41" i="149"/>
  <c r="U40" i="149"/>
  <c r="H40" i="149"/>
  <c r="U39" i="149"/>
  <c r="H39" i="149"/>
  <c r="V29" i="149"/>
  <c r="U29" i="149"/>
  <c r="T29" i="149"/>
  <c r="S29" i="149"/>
  <c r="R29" i="149"/>
  <c r="Q29" i="149"/>
  <c r="P29" i="149"/>
  <c r="O29" i="149"/>
  <c r="N29" i="149"/>
  <c r="M29" i="149"/>
  <c r="L29" i="149"/>
  <c r="K29" i="149"/>
  <c r="J29" i="149"/>
  <c r="I29" i="149"/>
  <c r="H29" i="149"/>
  <c r="G29" i="149"/>
  <c r="F29" i="149"/>
  <c r="E29" i="149"/>
  <c r="D29" i="149"/>
  <c r="C29" i="149"/>
  <c r="B29" i="149"/>
  <c r="V28" i="149"/>
  <c r="U28" i="149"/>
  <c r="T28" i="149"/>
  <c r="S28" i="149"/>
  <c r="R28" i="149"/>
  <c r="Q28" i="149"/>
  <c r="P28" i="149"/>
  <c r="O28" i="149"/>
  <c r="N28" i="149"/>
  <c r="M28" i="149"/>
  <c r="L28" i="149"/>
  <c r="K28" i="149"/>
  <c r="J28" i="149"/>
  <c r="I28" i="149"/>
  <c r="H28" i="149"/>
  <c r="G28" i="149"/>
  <c r="F28" i="149"/>
  <c r="E28" i="149"/>
  <c r="D28" i="149"/>
  <c r="C28" i="149"/>
  <c r="B28" i="149"/>
  <c r="W27" i="149"/>
  <c r="V25" i="149"/>
  <c r="V30" i="149" s="1"/>
  <c r="V32" i="149" s="1"/>
  <c r="U25" i="149"/>
  <c r="U30" i="149" s="1"/>
  <c r="U32" i="149" s="1"/>
  <c r="T25" i="149"/>
  <c r="T30" i="149" s="1"/>
  <c r="T32" i="149" s="1"/>
  <c r="S25" i="149"/>
  <c r="S30" i="149" s="1"/>
  <c r="S32" i="149" s="1"/>
  <c r="R25" i="149"/>
  <c r="R30" i="149" s="1"/>
  <c r="R32" i="149" s="1"/>
  <c r="Q25" i="149"/>
  <c r="P25" i="149"/>
  <c r="P30" i="149" s="1"/>
  <c r="P32" i="149" s="1"/>
  <c r="O25" i="149"/>
  <c r="N25" i="149"/>
  <c r="N30" i="149" s="1"/>
  <c r="N32" i="149" s="1"/>
  <c r="M25" i="149"/>
  <c r="M30" i="149" s="1"/>
  <c r="M32" i="149" s="1"/>
  <c r="L25" i="149"/>
  <c r="L30" i="149" s="1"/>
  <c r="L32" i="149" s="1"/>
  <c r="K25" i="149"/>
  <c r="K30" i="149" s="1"/>
  <c r="K32" i="149" s="1"/>
  <c r="J25" i="149"/>
  <c r="J30" i="149" s="1"/>
  <c r="J32" i="149" s="1"/>
  <c r="I25" i="149"/>
  <c r="H25" i="149"/>
  <c r="H30" i="149" s="1"/>
  <c r="H32" i="149" s="1"/>
  <c r="G25" i="149"/>
  <c r="F25" i="149"/>
  <c r="F30" i="149" s="1"/>
  <c r="F32" i="149" s="1"/>
  <c r="E25" i="149"/>
  <c r="E30" i="149" s="1"/>
  <c r="E32" i="149" s="1"/>
  <c r="D25" i="149"/>
  <c r="D30" i="149" s="1"/>
  <c r="D32" i="149" s="1"/>
  <c r="C25" i="149"/>
  <c r="C30" i="149" s="1"/>
  <c r="C32" i="149" s="1"/>
  <c r="B25" i="149"/>
  <c r="B30" i="149" s="1"/>
  <c r="B32" i="149" s="1"/>
  <c r="W24" i="149"/>
  <c r="W23" i="149"/>
  <c r="W22" i="149"/>
  <c r="W21" i="149"/>
  <c r="W20" i="149"/>
  <c r="W19" i="149"/>
  <c r="W18" i="149"/>
  <c r="H73" i="149" l="1"/>
  <c r="P73" i="149"/>
  <c r="R73" i="149"/>
  <c r="U46" i="149"/>
  <c r="U47" i="149" s="1"/>
  <c r="F52" i="149"/>
  <c r="Q31" i="149"/>
  <c r="J73" i="149"/>
  <c r="I31" i="149"/>
  <c r="H46" i="149"/>
  <c r="H47" i="149" s="1"/>
  <c r="B73" i="149"/>
  <c r="G52" i="149"/>
  <c r="G31" i="149"/>
  <c r="O31" i="149"/>
  <c r="W67" i="149"/>
  <c r="W70" i="149" s="1"/>
  <c r="D73" i="149"/>
  <c r="L73" i="149"/>
  <c r="T73" i="149"/>
  <c r="E73" i="149"/>
  <c r="M73" i="149"/>
  <c r="U73" i="149"/>
  <c r="P72" i="149"/>
  <c r="P74" i="149" s="1"/>
  <c r="F73" i="149"/>
  <c r="N73" i="149"/>
  <c r="V73" i="149"/>
  <c r="I73" i="149"/>
  <c r="Q73" i="149"/>
  <c r="H72" i="149"/>
  <c r="H74" i="149" s="1"/>
  <c r="O52" i="149"/>
  <c r="P52" i="149"/>
  <c r="Q52" i="149"/>
  <c r="R52" i="149"/>
  <c r="S52" i="149"/>
  <c r="T52" i="149"/>
  <c r="B52" i="149"/>
  <c r="C52" i="149"/>
  <c r="D52" i="149"/>
  <c r="E52" i="149"/>
  <c r="H31" i="149"/>
  <c r="P31" i="149"/>
  <c r="G30" i="149"/>
  <c r="G32" i="149" s="1"/>
  <c r="C31" i="149"/>
  <c r="K31" i="149"/>
  <c r="S31" i="149"/>
  <c r="W25" i="149"/>
  <c r="W26" i="149" s="1"/>
  <c r="D31" i="149"/>
  <c r="L31" i="149"/>
  <c r="T31" i="149"/>
  <c r="E31" i="149"/>
  <c r="M31" i="149"/>
  <c r="U31" i="149"/>
  <c r="O30" i="149"/>
  <c r="O32" i="149" s="1"/>
  <c r="J31" i="149"/>
  <c r="C73" i="149"/>
  <c r="S73" i="149"/>
  <c r="I30" i="149"/>
  <c r="I32" i="149" s="1"/>
  <c r="Q30" i="149"/>
  <c r="Q32" i="149" s="1"/>
  <c r="O51" i="149"/>
  <c r="O53" i="149" s="1"/>
  <c r="B72" i="149"/>
  <c r="B74" i="149" s="1"/>
  <c r="J72" i="149"/>
  <c r="J74" i="149" s="1"/>
  <c r="R72" i="149"/>
  <c r="R74" i="149" s="1"/>
  <c r="B31" i="149"/>
  <c r="R31" i="149"/>
  <c r="K73" i="149"/>
  <c r="N31" i="149"/>
  <c r="F31" i="149"/>
  <c r="G73" i="149"/>
  <c r="O73" i="149"/>
  <c r="V31" i="149"/>
  <c r="V71" i="148"/>
  <c r="U71" i="148"/>
  <c r="T71" i="148"/>
  <c r="S71" i="148"/>
  <c r="R71" i="148"/>
  <c r="Q71" i="148"/>
  <c r="P71" i="148"/>
  <c r="O71" i="148"/>
  <c r="N71" i="148"/>
  <c r="M71" i="148"/>
  <c r="L71" i="148"/>
  <c r="K71" i="148"/>
  <c r="J71" i="148"/>
  <c r="I71" i="148"/>
  <c r="H71" i="148"/>
  <c r="G71" i="148"/>
  <c r="F71" i="148"/>
  <c r="E71" i="148"/>
  <c r="D71" i="148"/>
  <c r="C71" i="148"/>
  <c r="B71" i="148"/>
  <c r="V70" i="148"/>
  <c r="U70" i="148"/>
  <c r="T70" i="148"/>
  <c r="S70" i="148"/>
  <c r="R70" i="148"/>
  <c r="Q70" i="148"/>
  <c r="P70" i="148"/>
  <c r="O70" i="148"/>
  <c r="N70" i="148"/>
  <c r="M70" i="148"/>
  <c r="L70" i="148"/>
  <c r="K70" i="148"/>
  <c r="J70" i="148"/>
  <c r="I70" i="148"/>
  <c r="H70" i="148"/>
  <c r="G70" i="148"/>
  <c r="F70" i="148"/>
  <c r="E70" i="148"/>
  <c r="D70" i="148"/>
  <c r="C70" i="148"/>
  <c r="B70" i="148"/>
  <c r="W69" i="148"/>
  <c r="V67" i="148"/>
  <c r="V72" i="148" s="1"/>
  <c r="V74" i="148" s="1"/>
  <c r="U67" i="148"/>
  <c r="T67" i="148"/>
  <c r="T72" i="148" s="1"/>
  <c r="T74" i="148" s="1"/>
  <c r="S67" i="148"/>
  <c r="S72" i="148" s="1"/>
  <c r="S74" i="148" s="1"/>
  <c r="R67" i="148"/>
  <c r="R72" i="148" s="1"/>
  <c r="R74" i="148" s="1"/>
  <c r="Q67" i="148"/>
  <c r="Q72" i="148" s="1"/>
  <c r="Q74" i="148" s="1"/>
  <c r="P67" i="148"/>
  <c r="P72" i="148" s="1"/>
  <c r="P74" i="148" s="1"/>
  <c r="O67" i="148"/>
  <c r="O72" i="148" s="1"/>
  <c r="O74" i="148" s="1"/>
  <c r="N67" i="148"/>
  <c r="N72" i="148" s="1"/>
  <c r="N74" i="148" s="1"/>
  <c r="M67" i="148"/>
  <c r="M72" i="148" s="1"/>
  <c r="M74" i="148" s="1"/>
  <c r="L67" i="148"/>
  <c r="L72" i="148" s="1"/>
  <c r="L74" i="148" s="1"/>
  <c r="K67" i="148"/>
  <c r="K72" i="148" s="1"/>
  <c r="K74" i="148" s="1"/>
  <c r="J67" i="148"/>
  <c r="J72" i="148" s="1"/>
  <c r="J74" i="148" s="1"/>
  <c r="I67" i="148"/>
  <c r="H67" i="148"/>
  <c r="G67" i="148"/>
  <c r="F67" i="148"/>
  <c r="E67" i="148"/>
  <c r="E72" i="148" s="1"/>
  <c r="E74" i="148" s="1"/>
  <c r="D67" i="148"/>
  <c r="D72" i="148" s="1"/>
  <c r="D74" i="148" s="1"/>
  <c r="C67" i="148"/>
  <c r="C72" i="148" s="1"/>
  <c r="C74" i="148" s="1"/>
  <c r="B67" i="148"/>
  <c r="B72" i="148" s="1"/>
  <c r="B74" i="148" s="1"/>
  <c r="W66" i="148"/>
  <c r="W65" i="148"/>
  <c r="W64" i="148"/>
  <c r="W63" i="148"/>
  <c r="W62" i="148"/>
  <c r="W61" i="148"/>
  <c r="W60" i="148"/>
  <c r="T50" i="148"/>
  <c r="S50" i="148"/>
  <c r="R50" i="148"/>
  <c r="Q50" i="148"/>
  <c r="P50" i="148"/>
  <c r="O50" i="148"/>
  <c r="G50" i="148"/>
  <c r="F50" i="148"/>
  <c r="E50" i="148"/>
  <c r="D50" i="148"/>
  <c r="C50" i="148"/>
  <c r="B50" i="148"/>
  <c r="T49" i="148"/>
  <c r="S49" i="148"/>
  <c r="R49" i="148"/>
  <c r="Q49" i="148"/>
  <c r="P49" i="148"/>
  <c r="O49" i="148"/>
  <c r="G49" i="148"/>
  <c r="F49" i="148"/>
  <c r="E49" i="148"/>
  <c r="D49" i="148"/>
  <c r="C49" i="148"/>
  <c r="B49" i="148"/>
  <c r="U48" i="148"/>
  <c r="H48" i="148"/>
  <c r="T46" i="148"/>
  <c r="T51" i="148" s="1"/>
  <c r="T53" i="148" s="1"/>
  <c r="S46" i="148"/>
  <c r="S51" i="148" s="1"/>
  <c r="S53" i="148" s="1"/>
  <c r="R46" i="148"/>
  <c r="R51" i="148" s="1"/>
  <c r="R53" i="148" s="1"/>
  <c r="Q46" i="148"/>
  <c r="Q51" i="148" s="1"/>
  <c r="Q53" i="148" s="1"/>
  <c r="P46" i="148"/>
  <c r="P51" i="148" s="1"/>
  <c r="P53" i="148" s="1"/>
  <c r="O46" i="148"/>
  <c r="O51" i="148" s="1"/>
  <c r="O53" i="148" s="1"/>
  <c r="G46" i="148"/>
  <c r="G51" i="148" s="1"/>
  <c r="G53" i="148" s="1"/>
  <c r="F46" i="148"/>
  <c r="F51" i="148" s="1"/>
  <c r="F53" i="148" s="1"/>
  <c r="E46" i="148"/>
  <c r="E51" i="148" s="1"/>
  <c r="E53" i="148" s="1"/>
  <c r="D46" i="148"/>
  <c r="D51" i="148" s="1"/>
  <c r="D53" i="148" s="1"/>
  <c r="C46" i="148"/>
  <c r="C51" i="148" s="1"/>
  <c r="C53" i="148" s="1"/>
  <c r="B46" i="148"/>
  <c r="U45" i="148"/>
  <c r="H45" i="148"/>
  <c r="U44" i="148"/>
  <c r="H44" i="148"/>
  <c r="U43" i="148"/>
  <c r="H43" i="148"/>
  <c r="U42" i="148"/>
  <c r="H42" i="148"/>
  <c r="U41" i="148"/>
  <c r="H41" i="148"/>
  <c r="U40" i="148"/>
  <c r="H40" i="148"/>
  <c r="U39" i="148"/>
  <c r="H39" i="148"/>
  <c r="V29" i="148"/>
  <c r="U29" i="148"/>
  <c r="T29" i="148"/>
  <c r="S29" i="148"/>
  <c r="R29" i="148"/>
  <c r="Q29" i="148"/>
  <c r="P29" i="148"/>
  <c r="O29" i="148"/>
  <c r="N29" i="148"/>
  <c r="M29" i="148"/>
  <c r="L29" i="148"/>
  <c r="K29" i="148"/>
  <c r="J29" i="148"/>
  <c r="I29" i="148"/>
  <c r="H29" i="148"/>
  <c r="G29" i="148"/>
  <c r="F29" i="148"/>
  <c r="E29" i="148"/>
  <c r="D29" i="148"/>
  <c r="C29" i="148"/>
  <c r="B29" i="148"/>
  <c r="V28" i="148"/>
  <c r="U28" i="148"/>
  <c r="T28" i="148"/>
  <c r="S28" i="148"/>
  <c r="R28" i="148"/>
  <c r="Q28" i="148"/>
  <c r="P28" i="148"/>
  <c r="O28" i="148"/>
  <c r="N28" i="148"/>
  <c r="M28" i="148"/>
  <c r="L28" i="148"/>
  <c r="K28" i="148"/>
  <c r="J28" i="148"/>
  <c r="I28" i="148"/>
  <c r="H28" i="148"/>
  <c r="G28" i="148"/>
  <c r="F28" i="148"/>
  <c r="E28" i="148"/>
  <c r="D28" i="148"/>
  <c r="C28" i="148"/>
  <c r="B28" i="148"/>
  <c r="W27" i="148"/>
  <c r="V25" i="148"/>
  <c r="V30" i="148" s="1"/>
  <c r="V32" i="148" s="1"/>
  <c r="U25" i="148"/>
  <c r="U30" i="148" s="1"/>
  <c r="U32" i="148" s="1"/>
  <c r="T25" i="148"/>
  <c r="T30" i="148" s="1"/>
  <c r="T32" i="148" s="1"/>
  <c r="S25" i="148"/>
  <c r="S30" i="148" s="1"/>
  <c r="S32" i="148" s="1"/>
  <c r="R25" i="148"/>
  <c r="R30" i="148" s="1"/>
  <c r="R32" i="148" s="1"/>
  <c r="Q25" i="148"/>
  <c r="Q30" i="148" s="1"/>
  <c r="Q32" i="148" s="1"/>
  <c r="P25" i="148"/>
  <c r="P30" i="148" s="1"/>
  <c r="P32" i="148" s="1"/>
  <c r="O25" i="148"/>
  <c r="O30" i="148" s="1"/>
  <c r="O32" i="148" s="1"/>
  <c r="N25" i="148"/>
  <c r="N30" i="148" s="1"/>
  <c r="N32" i="148" s="1"/>
  <c r="M25" i="148"/>
  <c r="M30" i="148" s="1"/>
  <c r="M32" i="148" s="1"/>
  <c r="L25" i="148"/>
  <c r="K25" i="148"/>
  <c r="K30" i="148" s="1"/>
  <c r="K32" i="148" s="1"/>
  <c r="J25" i="148"/>
  <c r="J30" i="148" s="1"/>
  <c r="J32" i="148" s="1"/>
  <c r="I25" i="148"/>
  <c r="H25" i="148"/>
  <c r="H30" i="148" s="1"/>
  <c r="H32" i="148" s="1"/>
  <c r="G25" i="148"/>
  <c r="G30" i="148" s="1"/>
  <c r="G32" i="148" s="1"/>
  <c r="F25" i="148"/>
  <c r="F30" i="148" s="1"/>
  <c r="F32" i="148" s="1"/>
  <c r="E25" i="148"/>
  <c r="E30" i="148" s="1"/>
  <c r="E32" i="148" s="1"/>
  <c r="D25" i="148"/>
  <c r="D30" i="148" s="1"/>
  <c r="D32" i="148" s="1"/>
  <c r="C25" i="148"/>
  <c r="C30" i="148" s="1"/>
  <c r="C32" i="148" s="1"/>
  <c r="B25" i="148"/>
  <c r="B30" i="148" s="1"/>
  <c r="B32" i="148" s="1"/>
  <c r="W24" i="148"/>
  <c r="W23" i="148"/>
  <c r="W22" i="148"/>
  <c r="W21" i="148"/>
  <c r="W20" i="148"/>
  <c r="W19" i="148"/>
  <c r="W18" i="148"/>
  <c r="B49" i="147"/>
  <c r="C49" i="147"/>
  <c r="D49" i="147"/>
  <c r="E49" i="147"/>
  <c r="F49" i="147"/>
  <c r="G49" i="147"/>
  <c r="B28" i="147"/>
  <c r="B50" i="147"/>
  <c r="C28" i="147"/>
  <c r="D28" i="147"/>
  <c r="E28" i="147"/>
  <c r="F28" i="147"/>
  <c r="G28" i="147"/>
  <c r="H28" i="147"/>
  <c r="I28" i="147"/>
  <c r="J28" i="147"/>
  <c r="K28" i="147"/>
  <c r="L28" i="147"/>
  <c r="M28" i="147"/>
  <c r="N28" i="147"/>
  <c r="O28" i="147"/>
  <c r="P28" i="147"/>
  <c r="Q28" i="147"/>
  <c r="R28" i="147"/>
  <c r="S28" i="147"/>
  <c r="T28" i="147"/>
  <c r="U28" i="147"/>
  <c r="V28" i="147"/>
  <c r="R52" i="148" l="1"/>
  <c r="I31" i="148"/>
  <c r="G73" i="148"/>
  <c r="U49" i="149"/>
  <c r="H49" i="149"/>
  <c r="L31" i="148"/>
  <c r="H73" i="148"/>
  <c r="W68" i="149"/>
  <c r="F73" i="148"/>
  <c r="W28" i="149"/>
  <c r="R31" i="148"/>
  <c r="Q73" i="148"/>
  <c r="F72" i="148"/>
  <c r="F74" i="148" s="1"/>
  <c r="J31" i="148"/>
  <c r="R73" i="148"/>
  <c r="U73" i="148"/>
  <c r="E52" i="148"/>
  <c r="I73" i="148"/>
  <c r="B73" i="148"/>
  <c r="G72" i="148"/>
  <c r="G74" i="148" s="1"/>
  <c r="U72" i="148"/>
  <c r="U74" i="148" s="1"/>
  <c r="S73" i="148"/>
  <c r="W67" i="148"/>
  <c r="W68" i="148" s="1"/>
  <c r="H72" i="148"/>
  <c r="H74" i="148" s="1"/>
  <c r="T73" i="148"/>
  <c r="D73" i="148"/>
  <c r="L73" i="148"/>
  <c r="I72" i="148"/>
  <c r="I74" i="148" s="1"/>
  <c r="E73" i="148"/>
  <c r="M73" i="148"/>
  <c r="V73" i="148"/>
  <c r="N73" i="148"/>
  <c r="J73" i="148"/>
  <c r="P73" i="148"/>
  <c r="K73" i="148"/>
  <c r="O52" i="148"/>
  <c r="P52" i="148"/>
  <c r="Q52" i="148"/>
  <c r="S31" i="148"/>
  <c r="L30" i="148"/>
  <c r="L32" i="148" s="1"/>
  <c r="T31" i="148"/>
  <c r="N31" i="148"/>
  <c r="E31" i="148"/>
  <c r="U31" i="148"/>
  <c r="F31" i="148"/>
  <c r="V31" i="148"/>
  <c r="G31" i="148"/>
  <c r="H31" i="148"/>
  <c r="Q31" i="148"/>
  <c r="I30" i="148"/>
  <c r="I32" i="148" s="1"/>
  <c r="G52" i="148"/>
  <c r="F52" i="148"/>
  <c r="K31" i="148"/>
  <c r="B51" i="148"/>
  <c r="B53" i="148" s="1"/>
  <c r="H46" i="148"/>
  <c r="U46" i="148"/>
  <c r="B31" i="148"/>
  <c r="W25" i="148"/>
  <c r="W28" i="148" s="1"/>
  <c r="S52" i="148"/>
  <c r="T52" i="148"/>
  <c r="B52" i="148"/>
  <c r="C31" i="148"/>
  <c r="O31" i="148"/>
  <c r="C52" i="148"/>
  <c r="C73" i="148"/>
  <c r="O73" i="148"/>
  <c r="D31" i="148"/>
  <c r="P31" i="148"/>
  <c r="M31" i="148"/>
  <c r="D52" i="148"/>
  <c r="W70" i="148" l="1"/>
  <c r="W26" i="148"/>
  <c r="U49" i="148"/>
  <c r="U47" i="148"/>
  <c r="H47" i="148"/>
  <c r="H49" i="148"/>
  <c r="C70" i="147" l="1"/>
  <c r="D70" i="147"/>
  <c r="E70" i="147"/>
  <c r="F70" i="147"/>
  <c r="G70" i="147"/>
  <c r="H70" i="147"/>
  <c r="I70" i="147"/>
  <c r="J70" i="147"/>
  <c r="K70" i="147"/>
  <c r="L70" i="147"/>
  <c r="M70" i="147"/>
  <c r="N70" i="147"/>
  <c r="O70" i="147"/>
  <c r="P70" i="147"/>
  <c r="Q70" i="147"/>
  <c r="R70" i="147"/>
  <c r="S70" i="147"/>
  <c r="T70" i="147"/>
  <c r="U70" i="147"/>
  <c r="V70" i="147"/>
  <c r="B70" i="147"/>
  <c r="P49" i="147"/>
  <c r="Q49" i="147"/>
  <c r="R49" i="147"/>
  <c r="S49" i="147"/>
  <c r="T49" i="147"/>
  <c r="O49" i="147"/>
  <c r="S25" i="147" l="1"/>
  <c r="E25" i="147"/>
  <c r="V71" i="147" l="1"/>
  <c r="U71" i="147"/>
  <c r="T71" i="147"/>
  <c r="S71" i="147"/>
  <c r="R71" i="147"/>
  <c r="Q71" i="147"/>
  <c r="P71" i="147"/>
  <c r="O71" i="147"/>
  <c r="N71" i="147"/>
  <c r="M71" i="147"/>
  <c r="L71" i="147"/>
  <c r="K71" i="147"/>
  <c r="J71" i="147"/>
  <c r="I71" i="147"/>
  <c r="H71" i="147"/>
  <c r="G71" i="147"/>
  <c r="F71" i="147"/>
  <c r="E71" i="147"/>
  <c r="D71" i="147"/>
  <c r="C71" i="147"/>
  <c r="B71" i="147"/>
  <c r="W69" i="147"/>
  <c r="V67" i="147"/>
  <c r="V72" i="147" s="1"/>
  <c r="V74" i="147" s="1"/>
  <c r="U67" i="147"/>
  <c r="U72" i="147" s="1"/>
  <c r="U74" i="147" s="1"/>
  <c r="T67" i="147"/>
  <c r="T72" i="147" s="1"/>
  <c r="T74" i="147" s="1"/>
  <c r="S67" i="147"/>
  <c r="S72" i="147" s="1"/>
  <c r="S74" i="147" s="1"/>
  <c r="R67" i="147"/>
  <c r="R72" i="147" s="1"/>
  <c r="R74" i="147" s="1"/>
  <c r="Q67" i="147"/>
  <c r="P67" i="147"/>
  <c r="O67" i="147"/>
  <c r="O72" i="147" s="1"/>
  <c r="O74" i="147" s="1"/>
  <c r="N67" i="147"/>
  <c r="N72" i="147" s="1"/>
  <c r="N74" i="147" s="1"/>
  <c r="M67" i="147"/>
  <c r="M72" i="147" s="1"/>
  <c r="M74" i="147" s="1"/>
  <c r="L67" i="147"/>
  <c r="L72" i="147" s="1"/>
  <c r="L74" i="147" s="1"/>
  <c r="K67" i="147"/>
  <c r="K72" i="147" s="1"/>
  <c r="K74" i="147" s="1"/>
  <c r="J67" i="147"/>
  <c r="J72" i="147" s="1"/>
  <c r="J74" i="147" s="1"/>
  <c r="I67" i="147"/>
  <c r="H67" i="147"/>
  <c r="G67" i="147"/>
  <c r="G72" i="147" s="1"/>
  <c r="G74" i="147" s="1"/>
  <c r="F67" i="147"/>
  <c r="F72" i="147" s="1"/>
  <c r="F74" i="147" s="1"/>
  <c r="E67" i="147"/>
  <c r="E72" i="147" s="1"/>
  <c r="E74" i="147" s="1"/>
  <c r="D67" i="147"/>
  <c r="D72" i="147" s="1"/>
  <c r="D74" i="147" s="1"/>
  <c r="C67" i="147"/>
  <c r="C72" i="147" s="1"/>
  <c r="C74" i="147" s="1"/>
  <c r="B67" i="147"/>
  <c r="B72" i="147" s="1"/>
  <c r="B74" i="147" s="1"/>
  <c r="W66" i="147"/>
  <c r="W65" i="147"/>
  <c r="W64" i="147"/>
  <c r="W63" i="147"/>
  <c r="W62" i="147"/>
  <c r="W61" i="147"/>
  <c r="W60" i="147"/>
  <c r="T50" i="147"/>
  <c r="S50" i="147"/>
  <c r="R50" i="147"/>
  <c r="Q50" i="147"/>
  <c r="P50" i="147"/>
  <c r="O50" i="147"/>
  <c r="G50" i="147"/>
  <c r="F50" i="147"/>
  <c r="E50" i="147"/>
  <c r="D50" i="147"/>
  <c r="C50" i="147"/>
  <c r="U48" i="147"/>
  <c r="H48" i="147"/>
  <c r="T46" i="147"/>
  <c r="T51" i="147" s="1"/>
  <c r="T53" i="147" s="1"/>
  <c r="S46" i="147"/>
  <c r="S51" i="147" s="1"/>
  <c r="S53" i="147" s="1"/>
  <c r="R46" i="147"/>
  <c r="R51" i="147" s="1"/>
  <c r="R53" i="147" s="1"/>
  <c r="Q46" i="147"/>
  <c r="Q51" i="147" s="1"/>
  <c r="Q53" i="147" s="1"/>
  <c r="P46" i="147"/>
  <c r="P51" i="147" s="1"/>
  <c r="P53" i="147" s="1"/>
  <c r="O46" i="147"/>
  <c r="O51" i="147" s="1"/>
  <c r="O53" i="147" s="1"/>
  <c r="G46" i="147"/>
  <c r="G51" i="147" s="1"/>
  <c r="G53" i="147" s="1"/>
  <c r="F46" i="147"/>
  <c r="F51" i="147" s="1"/>
  <c r="F53" i="147" s="1"/>
  <c r="E46" i="147"/>
  <c r="E51" i="147" s="1"/>
  <c r="E53" i="147" s="1"/>
  <c r="D46" i="147"/>
  <c r="D51" i="147" s="1"/>
  <c r="D53" i="147" s="1"/>
  <c r="C46" i="147"/>
  <c r="C51" i="147" s="1"/>
  <c r="C53" i="147" s="1"/>
  <c r="B46" i="147"/>
  <c r="B51" i="147" s="1"/>
  <c r="B53" i="147" s="1"/>
  <c r="U45" i="147"/>
  <c r="H45" i="147"/>
  <c r="U44" i="147"/>
  <c r="H44" i="147"/>
  <c r="U43" i="147"/>
  <c r="H43" i="147"/>
  <c r="U42" i="147"/>
  <c r="H42" i="147"/>
  <c r="U41" i="147"/>
  <c r="H41" i="147"/>
  <c r="U40" i="147"/>
  <c r="H40" i="147"/>
  <c r="U39" i="147"/>
  <c r="H39" i="147"/>
  <c r="V29" i="147"/>
  <c r="U29" i="147"/>
  <c r="T29" i="147"/>
  <c r="S29" i="147"/>
  <c r="R29" i="147"/>
  <c r="Q29" i="147"/>
  <c r="P29" i="147"/>
  <c r="O29" i="147"/>
  <c r="N29" i="147"/>
  <c r="M29" i="147"/>
  <c r="L29" i="147"/>
  <c r="K29" i="147"/>
  <c r="J29" i="147"/>
  <c r="I29" i="147"/>
  <c r="H29" i="147"/>
  <c r="G29" i="147"/>
  <c r="F29" i="147"/>
  <c r="E29" i="147"/>
  <c r="D29" i="147"/>
  <c r="C29" i="147"/>
  <c r="B29" i="147"/>
  <c r="W27" i="147"/>
  <c r="V25" i="147"/>
  <c r="V30" i="147" s="1"/>
  <c r="V32" i="147" s="1"/>
  <c r="U25" i="147"/>
  <c r="U30" i="147" s="1"/>
  <c r="U32" i="147" s="1"/>
  <c r="T25" i="147"/>
  <c r="T30" i="147" s="1"/>
  <c r="T32" i="147" s="1"/>
  <c r="S30" i="147"/>
  <c r="S32" i="147" s="1"/>
  <c r="R25" i="147"/>
  <c r="R30" i="147" s="1"/>
  <c r="R32" i="147" s="1"/>
  <c r="Q25" i="147"/>
  <c r="Q30" i="147" s="1"/>
  <c r="Q32" i="147" s="1"/>
  <c r="P25" i="147"/>
  <c r="O25" i="147"/>
  <c r="N25" i="147"/>
  <c r="N30" i="147" s="1"/>
  <c r="N32" i="147" s="1"/>
  <c r="M25" i="147"/>
  <c r="M30" i="147" s="1"/>
  <c r="M32" i="147" s="1"/>
  <c r="L25" i="147"/>
  <c r="L30" i="147" s="1"/>
  <c r="L32" i="147" s="1"/>
  <c r="K25" i="147"/>
  <c r="K30" i="147" s="1"/>
  <c r="K32" i="147" s="1"/>
  <c r="J25" i="147"/>
  <c r="J30" i="147" s="1"/>
  <c r="J32" i="147" s="1"/>
  <c r="I25" i="147"/>
  <c r="I30" i="147" s="1"/>
  <c r="I32" i="147" s="1"/>
  <c r="H25" i="147"/>
  <c r="H30" i="147" s="1"/>
  <c r="H32" i="147" s="1"/>
  <c r="G25" i="147"/>
  <c r="F25" i="147"/>
  <c r="F30" i="147" s="1"/>
  <c r="F32" i="147" s="1"/>
  <c r="E30" i="147"/>
  <c r="E32" i="147" s="1"/>
  <c r="D25" i="147"/>
  <c r="D30" i="147" s="1"/>
  <c r="D32" i="147" s="1"/>
  <c r="C25" i="147"/>
  <c r="C30" i="147" s="1"/>
  <c r="C32" i="147" s="1"/>
  <c r="B25" i="147"/>
  <c r="W24" i="147"/>
  <c r="W23" i="147"/>
  <c r="W22" i="147"/>
  <c r="W21" i="147"/>
  <c r="W20" i="147"/>
  <c r="W19" i="147"/>
  <c r="W18" i="147"/>
  <c r="C31" i="147" l="1"/>
  <c r="T31" i="147"/>
  <c r="S31" i="147"/>
  <c r="D31" i="147"/>
  <c r="B30" i="147"/>
  <c r="B32" i="147" s="1"/>
  <c r="B31" i="147"/>
  <c r="O31" i="147"/>
  <c r="K31" i="147"/>
  <c r="G31" i="147"/>
  <c r="L31" i="147"/>
  <c r="H73" i="147"/>
  <c r="P73" i="147"/>
  <c r="I73" i="147"/>
  <c r="Q73" i="147"/>
  <c r="P31" i="147"/>
  <c r="G73" i="147"/>
  <c r="O73" i="147"/>
  <c r="W67" i="147"/>
  <c r="W68" i="147" s="1"/>
  <c r="B73" i="147"/>
  <c r="J73" i="147"/>
  <c r="R73" i="147"/>
  <c r="C73" i="147"/>
  <c r="K73" i="147"/>
  <c r="S73" i="147"/>
  <c r="D73" i="147"/>
  <c r="L73" i="147"/>
  <c r="T73" i="147"/>
  <c r="E73" i="147"/>
  <c r="M73" i="147"/>
  <c r="U73" i="147"/>
  <c r="F73" i="147"/>
  <c r="N73" i="147"/>
  <c r="V73" i="147"/>
  <c r="O52" i="147"/>
  <c r="P52" i="147"/>
  <c r="Q52" i="147"/>
  <c r="U46" i="147"/>
  <c r="U49" i="147" s="1"/>
  <c r="R52" i="147"/>
  <c r="S52" i="147"/>
  <c r="T52" i="147"/>
  <c r="D52" i="147"/>
  <c r="E52" i="147"/>
  <c r="F52" i="147"/>
  <c r="G52" i="147"/>
  <c r="B52" i="147"/>
  <c r="C52" i="147"/>
  <c r="W25" i="147"/>
  <c r="W26" i="147" s="1"/>
  <c r="E31" i="147"/>
  <c r="M31" i="147"/>
  <c r="U31" i="147"/>
  <c r="F31" i="147"/>
  <c r="N31" i="147"/>
  <c r="V31" i="147"/>
  <c r="I31" i="147"/>
  <c r="Q31" i="147"/>
  <c r="J31" i="147"/>
  <c r="R31" i="147"/>
  <c r="H46" i="147"/>
  <c r="O30" i="147"/>
  <c r="O32" i="147" s="1"/>
  <c r="H72" i="147"/>
  <c r="H74" i="147" s="1"/>
  <c r="I72" i="147"/>
  <c r="I74" i="147" s="1"/>
  <c r="H31" i="147"/>
  <c r="G30" i="147"/>
  <c r="G32" i="147" s="1"/>
  <c r="P30" i="147"/>
  <c r="P32" i="147" s="1"/>
  <c r="P72" i="147"/>
  <c r="P74" i="147" s="1"/>
  <c r="Q72" i="147"/>
  <c r="Q74" i="147" s="1"/>
  <c r="W28" i="147" l="1"/>
  <c r="W70" i="147"/>
  <c r="U47" i="147"/>
  <c r="H47" i="147"/>
  <c r="H49" i="147"/>
  <c r="B28" i="146"/>
  <c r="B29" i="146"/>
  <c r="R49" i="146" l="1"/>
  <c r="D25" i="146"/>
  <c r="D28" i="146"/>
  <c r="D29" i="146"/>
  <c r="D31" i="146" l="1"/>
  <c r="D30" i="146"/>
  <c r="D32" i="146" s="1"/>
  <c r="V71" i="146"/>
  <c r="U71" i="146"/>
  <c r="T71" i="146"/>
  <c r="S71" i="146"/>
  <c r="R71" i="146"/>
  <c r="Q71" i="146"/>
  <c r="P71" i="146"/>
  <c r="O71" i="146"/>
  <c r="N71" i="146"/>
  <c r="M71" i="146"/>
  <c r="L71" i="146"/>
  <c r="K71" i="146"/>
  <c r="J71" i="146"/>
  <c r="I71" i="146"/>
  <c r="H71" i="146"/>
  <c r="G71" i="146"/>
  <c r="F71" i="146"/>
  <c r="E71" i="146"/>
  <c r="D71" i="146"/>
  <c r="C71" i="146"/>
  <c r="B71" i="146"/>
  <c r="V70" i="146"/>
  <c r="U70" i="146"/>
  <c r="T70" i="146"/>
  <c r="S70" i="146"/>
  <c r="R70" i="146"/>
  <c r="Q70" i="146"/>
  <c r="P70" i="146"/>
  <c r="O70" i="146"/>
  <c r="N70" i="146"/>
  <c r="M70" i="146"/>
  <c r="L70" i="146"/>
  <c r="K70" i="146"/>
  <c r="J70" i="146"/>
  <c r="I70" i="146"/>
  <c r="H70" i="146"/>
  <c r="G70" i="146"/>
  <c r="F70" i="146"/>
  <c r="E70" i="146"/>
  <c r="D70" i="146"/>
  <c r="C70" i="146"/>
  <c r="B70" i="146"/>
  <c r="W69" i="146"/>
  <c r="V67" i="146"/>
  <c r="V72" i="146" s="1"/>
  <c r="V74" i="146" s="1"/>
  <c r="U67" i="146"/>
  <c r="U72" i="146" s="1"/>
  <c r="U74" i="146" s="1"/>
  <c r="T67" i="146"/>
  <c r="T72" i="146" s="1"/>
  <c r="T74" i="146" s="1"/>
  <c r="S67" i="146"/>
  <c r="R67" i="146"/>
  <c r="Q67" i="146"/>
  <c r="Q72" i="146" s="1"/>
  <c r="Q74" i="146" s="1"/>
  <c r="P67" i="146"/>
  <c r="P72" i="146" s="1"/>
  <c r="P74" i="146" s="1"/>
  <c r="O67" i="146"/>
  <c r="O72" i="146" s="1"/>
  <c r="O74" i="146" s="1"/>
  <c r="N67" i="146"/>
  <c r="N72" i="146" s="1"/>
  <c r="N74" i="146" s="1"/>
  <c r="M67" i="146"/>
  <c r="M72" i="146" s="1"/>
  <c r="M74" i="146" s="1"/>
  <c r="L67" i="146"/>
  <c r="L72" i="146" s="1"/>
  <c r="L74" i="146" s="1"/>
  <c r="K67" i="146"/>
  <c r="J67" i="146"/>
  <c r="I67" i="146"/>
  <c r="I72" i="146" s="1"/>
  <c r="I74" i="146" s="1"/>
  <c r="H67" i="146"/>
  <c r="H72" i="146" s="1"/>
  <c r="H74" i="146" s="1"/>
  <c r="G67" i="146"/>
  <c r="G72" i="146" s="1"/>
  <c r="G74" i="146" s="1"/>
  <c r="F67" i="146"/>
  <c r="F72" i="146" s="1"/>
  <c r="F74" i="146" s="1"/>
  <c r="E67" i="146"/>
  <c r="E72" i="146" s="1"/>
  <c r="E74" i="146" s="1"/>
  <c r="D67" i="146"/>
  <c r="D72" i="146" s="1"/>
  <c r="D74" i="146" s="1"/>
  <c r="C67" i="146"/>
  <c r="B67" i="146"/>
  <c r="W66" i="146"/>
  <c r="W65" i="146"/>
  <c r="W64" i="146"/>
  <c r="W63" i="146"/>
  <c r="W62" i="146"/>
  <c r="W61" i="146"/>
  <c r="W60" i="146"/>
  <c r="T50" i="146"/>
  <c r="S50" i="146"/>
  <c r="R50" i="146"/>
  <c r="Q50" i="146"/>
  <c r="P50" i="146"/>
  <c r="O50" i="146"/>
  <c r="G50" i="146"/>
  <c r="F50" i="146"/>
  <c r="E50" i="146"/>
  <c r="D50" i="146"/>
  <c r="C50" i="146"/>
  <c r="B50" i="146"/>
  <c r="T49" i="146"/>
  <c r="S49" i="146"/>
  <c r="Q49" i="146"/>
  <c r="P49" i="146"/>
  <c r="O49" i="146"/>
  <c r="G49" i="146"/>
  <c r="F49" i="146"/>
  <c r="E49" i="146"/>
  <c r="D49" i="146"/>
  <c r="C49" i="146"/>
  <c r="B49" i="146"/>
  <c r="U48" i="146"/>
  <c r="H48" i="146"/>
  <c r="T46" i="146"/>
  <c r="T51" i="146" s="1"/>
  <c r="T53" i="146" s="1"/>
  <c r="S46" i="146"/>
  <c r="S51" i="146" s="1"/>
  <c r="S53" i="146" s="1"/>
  <c r="R46" i="146"/>
  <c r="R51" i="146" s="1"/>
  <c r="R53" i="146" s="1"/>
  <c r="Q46" i="146"/>
  <c r="Q51" i="146" s="1"/>
  <c r="Q53" i="146" s="1"/>
  <c r="P46" i="146"/>
  <c r="P51" i="146" s="1"/>
  <c r="P53" i="146" s="1"/>
  <c r="O46" i="146"/>
  <c r="G46" i="146"/>
  <c r="G51" i="146" s="1"/>
  <c r="G53" i="146" s="1"/>
  <c r="F46" i="146"/>
  <c r="F51" i="146" s="1"/>
  <c r="F53" i="146" s="1"/>
  <c r="E46" i="146"/>
  <c r="E51" i="146" s="1"/>
  <c r="E53" i="146" s="1"/>
  <c r="D46" i="146"/>
  <c r="D51" i="146" s="1"/>
  <c r="D53" i="146" s="1"/>
  <c r="C46" i="146"/>
  <c r="C51" i="146" s="1"/>
  <c r="C53" i="146" s="1"/>
  <c r="B46" i="146"/>
  <c r="U45" i="146"/>
  <c r="H45" i="146"/>
  <c r="U44" i="146"/>
  <c r="H44" i="146"/>
  <c r="U43" i="146"/>
  <c r="H43" i="146"/>
  <c r="U42" i="146"/>
  <c r="H42" i="146"/>
  <c r="U41" i="146"/>
  <c r="H41" i="146"/>
  <c r="U40" i="146"/>
  <c r="H40" i="146"/>
  <c r="U39" i="146"/>
  <c r="H39" i="146"/>
  <c r="V29" i="146"/>
  <c r="U29" i="146"/>
  <c r="T29" i="146"/>
  <c r="S29" i="146"/>
  <c r="R29" i="146"/>
  <c r="Q29" i="146"/>
  <c r="P29" i="146"/>
  <c r="O29" i="146"/>
  <c r="N29" i="146"/>
  <c r="M29" i="146"/>
  <c r="L29" i="146"/>
  <c r="K29" i="146"/>
  <c r="J29" i="146"/>
  <c r="I29" i="146"/>
  <c r="H29" i="146"/>
  <c r="G29" i="146"/>
  <c r="F29" i="146"/>
  <c r="E29" i="146"/>
  <c r="C29" i="146"/>
  <c r="V28" i="146"/>
  <c r="U28" i="146"/>
  <c r="T28" i="146"/>
  <c r="S28" i="146"/>
  <c r="R28" i="146"/>
  <c r="Q28" i="146"/>
  <c r="P28" i="146"/>
  <c r="O28" i="146"/>
  <c r="N28" i="146"/>
  <c r="M28" i="146"/>
  <c r="L28" i="146"/>
  <c r="K28" i="146"/>
  <c r="J28" i="146"/>
  <c r="I28" i="146"/>
  <c r="H28" i="146"/>
  <c r="G28" i="146"/>
  <c r="F28" i="146"/>
  <c r="E28" i="146"/>
  <c r="C28" i="146"/>
  <c r="W27" i="146"/>
  <c r="V25" i="146"/>
  <c r="V30" i="146" s="1"/>
  <c r="V32" i="146" s="1"/>
  <c r="U25" i="146"/>
  <c r="U30" i="146" s="1"/>
  <c r="U32" i="146" s="1"/>
  <c r="T25" i="146"/>
  <c r="T30" i="146" s="1"/>
  <c r="T32" i="146" s="1"/>
  <c r="S25" i="146"/>
  <c r="S30" i="146" s="1"/>
  <c r="S32" i="146" s="1"/>
  <c r="R25" i="146"/>
  <c r="Q25" i="146"/>
  <c r="P25" i="146"/>
  <c r="P30" i="146" s="1"/>
  <c r="P32" i="146" s="1"/>
  <c r="O25" i="146"/>
  <c r="O30" i="146" s="1"/>
  <c r="O32" i="146" s="1"/>
  <c r="N25" i="146"/>
  <c r="N30" i="146" s="1"/>
  <c r="N32" i="146" s="1"/>
  <c r="M25" i="146"/>
  <c r="M30" i="146" s="1"/>
  <c r="M32" i="146" s="1"/>
  <c r="L25" i="146"/>
  <c r="L30" i="146" s="1"/>
  <c r="L32" i="146" s="1"/>
  <c r="K25" i="146"/>
  <c r="K30" i="146" s="1"/>
  <c r="K32" i="146" s="1"/>
  <c r="J25" i="146"/>
  <c r="I25" i="146"/>
  <c r="H25" i="146"/>
  <c r="H30" i="146" s="1"/>
  <c r="H32" i="146" s="1"/>
  <c r="G25" i="146"/>
  <c r="G30" i="146" s="1"/>
  <c r="G32" i="146" s="1"/>
  <c r="F25" i="146"/>
  <c r="F30" i="146" s="1"/>
  <c r="F32" i="146" s="1"/>
  <c r="E25" i="146"/>
  <c r="E30" i="146" s="1"/>
  <c r="E32" i="146" s="1"/>
  <c r="C25" i="146"/>
  <c r="B25" i="146"/>
  <c r="W24" i="146"/>
  <c r="W23" i="146"/>
  <c r="W22" i="146"/>
  <c r="W21" i="146"/>
  <c r="W20" i="146"/>
  <c r="W19" i="146"/>
  <c r="W18" i="146"/>
  <c r="R31" i="146" l="1"/>
  <c r="I73" i="146"/>
  <c r="J31" i="146"/>
  <c r="E73" i="146"/>
  <c r="Q31" i="146"/>
  <c r="U73" i="146"/>
  <c r="M73" i="146"/>
  <c r="B73" i="146"/>
  <c r="R73" i="146"/>
  <c r="J73" i="146"/>
  <c r="C73" i="146"/>
  <c r="K73" i="146"/>
  <c r="S73" i="146"/>
  <c r="T52" i="146"/>
  <c r="B30" i="146"/>
  <c r="B32" i="146" s="1"/>
  <c r="B31" i="146"/>
  <c r="I31" i="146"/>
  <c r="Q73" i="146"/>
  <c r="C31" i="146"/>
  <c r="O52" i="146"/>
  <c r="P52" i="146"/>
  <c r="Q52" i="146"/>
  <c r="U46" i="146"/>
  <c r="U49" i="146" s="1"/>
  <c r="R52" i="146"/>
  <c r="S52" i="146"/>
  <c r="F52" i="146"/>
  <c r="B52" i="146"/>
  <c r="E52" i="146"/>
  <c r="G52" i="146"/>
  <c r="H46" i="146"/>
  <c r="H49" i="146" s="1"/>
  <c r="C52" i="146"/>
  <c r="D52" i="146"/>
  <c r="F73" i="146"/>
  <c r="N73" i="146"/>
  <c r="V73" i="146"/>
  <c r="W67" i="146"/>
  <c r="W70" i="146" s="1"/>
  <c r="H73" i="146"/>
  <c r="P73" i="146"/>
  <c r="L31" i="146"/>
  <c r="T31" i="146"/>
  <c r="G31" i="146"/>
  <c r="O31" i="146"/>
  <c r="W25" i="146"/>
  <c r="W26" i="146" s="1"/>
  <c r="E31" i="146"/>
  <c r="M31" i="146"/>
  <c r="U31" i="146"/>
  <c r="H31" i="146"/>
  <c r="P31" i="146"/>
  <c r="K31" i="146"/>
  <c r="D73" i="146"/>
  <c r="L73" i="146"/>
  <c r="T73" i="146"/>
  <c r="I30" i="146"/>
  <c r="I32" i="146" s="1"/>
  <c r="Q30" i="146"/>
  <c r="Q32" i="146" s="1"/>
  <c r="O51" i="146"/>
  <c r="O53" i="146" s="1"/>
  <c r="B72" i="146"/>
  <c r="B74" i="146" s="1"/>
  <c r="J72" i="146"/>
  <c r="J74" i="146" s="1"/>
  <c r="R72" i="146"/>
  <c r="R74" i="146" s="1"/>
  <c r="J30" i="146"/>
  <c r="J32" i="146" s="1"/>
  <c r="R30" i="146"/>
  <c r="R32" i="146" s="1"/>
  <c r="C72" i="146"/>
  <c r="C74" i="146" s="1"/>
  <c r="K72" i="146"/>
  <c r="K74" i="146" s="1"/>
  <c r="S72" i="146"/>
  <c r="S74" i="146" s="1"/>
  <c r="C30" i="146"/>
  <c r="C32" i="146" s="1"/>
  <c r="N31" i="146"/>
  <c r="G73" i="146"/>
  <c r="O73" i="146"/>
  <c r="F31" i="146"/>
  <c r="S31" i="146"/>
  <c r="V31" i="146"/>
  <c r="B51" i="146"/>
  <c r="B53" i="146" s="1"/>
  <c r="G28" i="145"/>
  <c r="G29" i="145"/>
  <c r="W68" i="146" l="1"/>
  <c r="U47" i="146"/>
  <c r="H47" i="146"/>
  <c r="W28" i="146"/>
  <c r="B49" i="145"/>
  <c r="C49" i="145"/>
  <c r="D49" i="145"/>
  <c r="E49" i="145"/>
  <c r="F49" i="145"/>
  <c r="G49" i="145"/>
  <c r="B50" i="145"/>
  <c r="C50" i="145"/>
  <c r="D50" i="145"/>
  <c r="E50" i="145"/>
  <c r="F50" i="145"/>
  <c r="G50" i="145"/>
  <c r="L28" i="145" l="1"/>
  <c r="L29" i="145"/>
  <c r="V71" i="145" l="1"/>
  <c r="U71" i="145"/>
  <c r="T71" i="145"/>
  <c r="S71" i="145"/>
  <c r="R71" i="145"/>
  <c r="Q71" i="145"/>
  <c r="P71" i="145"/>
  <c r="O71" i="145"/>
  <c r="N71" i="145"/>
  <c r="M71" i="145"/>
  <c r="L71" i="145"/>
  <c r="K71" i="145"/>
  <c r="J71" i="145"/>
  <c r="I71" i="145"/>
  <c r="H71" i="145"/>
  <c r="G71" i="145"/>
  <c r="F71" i="145"/>
  <c r="E71" i="145"/>
  <c r="D71" i="145"/>
  <c r="C71" i="145"/>
  <c r="B71" i="145"/>
  <c r="V70" i="145"/>
  <c r="U70" i="145"/>
  <c r="T70" i="145"/>
  <c r="S70" i="145"/>
  <c r="R70" i="145"/>
  <c r="Q70" i="145"/>
  <c r="P70" i="145"/>
  <c r="O70" i="145"/>
  <c r="N70" i="145"/>
  <c r="M70" i="145"/>
  <c r="L70" i="145"/>
  <c r="K70" i="145"/>
  <c r="J70" i="145"/>
  <c r="I70" i="145"/>
  <c r="H70" i="145"/>
  <c r="G70" i="145"/>
  <c r="F70" i="145"/>
  <c r="E70" i="145"/>
  <c r="D70" i="145"/>
  <c r="C70" i="145"/>
  <c r="B70" i="145"/>
  <c r="W69" i="145"/>
  <c r="V67" i="145"/>
  <c r="V72" i="145" s="1"/>
  <c r="V74" i="145" s="1"/>
  <c r="U67" i="145"/>
  <c r="U72" i="145" s="1"/>
  <c r="U74" i="145" s="1"/>
  <c r="T67" i="145"/>
  <c r="S67" i="145"/>
  <c r="S72" i="145" s="1"/>
  <c r="S74" i="145" s="1"/>
  <c r="R67" i="145"/>
  <c r="R72" i="145" s="1"/>
  <c r="R74" i="145" s="1"/>
  <c r="Q67" i="145"/>
  <c r="Q72" i="145" s="1"/>
  <c r="Q74" i="145" s="1"/>
  <c r="P67" i="145"/>
  <c r="P72" i="145" s="1"/>
  <c r="P74" i="145" s="1"/>
  <c r="O67" i="145"/>
  <c r="O72" i="145" s="1"/>
  <c r="O74" i="145" s="1"/>
  <c r="N67" i="145"/>
  <c r="N72" i="145" s="1"/>
  <c r="N74" i="145" s="1"/>
  <c r="M67" i="145"/>
  <c r="L67" i="145"/>
  <c r="K67" i="145"/>
  <c r="K72" i="145" s="1"/>
  <c r="K74" i="145" s="1"/>
  <c r="J67" i="145"/>
  <c r="J72" i="145" s="1"/>
  <c r="J74" i="145" s="1"/>
  <c r="I67" i="145"/>
  <c r="I72" i="145" s="1"/>
  <c r="I74" i="145" s="1"/>
  <c r="H67" i="145"/>
  <c r="H72" i="145" s="1"/>
  <c r="H74" i="145" s="1"/>
  <c r="G67" i="145"/>
  <c r="G72" i="145" s="1"/>
  <c r="G74" i="145" s="1"/>
  <c r="F67" i="145"/>
  <c r="F72" i="145" s="1"/>
  <c r="F74" i="145" s="1"/>
  <c r="E67" i="145"/>
  <c r="E72" i="145" s="1"/>
  <c r="E74" i="145" s="1"/>
  <c r="D67" i="145"/>
  <c r="C67" i="145"/>
  <c r="C72" i="145" s="1"/>
  <c r="C74" i="145" s="1"/>
  <c r="B67" i="145"/>
  <c r="B72" i="145" s="1"/>
  <c r="B74" i="145" s="1"/>
  <c r="W66" i="145"/>
  <c r="W65" i="145"/>
  <c r="W64" i="145"/>
  <c r="W63" i="145"/>
  <c r="W62" i="145"/>
  <c r="W61" i="145"/>
  <c r="W60" i="145"/>
  <c r="T50" i="145"/>
  <c r="S50" i="145"/>
  <c r="R50" i="145"/>
  <c r="Q50" i="145"/>
  <c r="P50" i="145"/>
  <c r="O50" i="145"/>
  <c r="T49" i="145"/>
  <c r="S49" i="145"/>
  <c r="R49" i="145"/>
  <c r="Q49" i="145"/>
  <c r="P49" i="145"/>
  <c r="O49" i="145"/>
  <c r="U48" i="145"/>
  <c r="H48" i="145"/>
  <c r="T46" i="145"/>
  <c r="T51" i="145" s="1"/>
  <c r="T53" i="145" s="1"/>
  <c r="S46" i="145"/>
  <c r="S51" i="145" s="1"/>
  <c r="S53" i="145" s="1"/>
  <c r="R46" i="145"/>
  <c r="R51" i="145" s="1"/>
  <c r="R53" i="145" s="1"/>
  <c r="Q46" i="145"/>
  <c r="P46" i="145"/>
  <c r="P51" i="145" s="1"/>
  <c r="P53" i="145" s="1"/>
  <c r="O46" i="145"/>
  <c r="O51" i="145" s="1"/>
  <c r="O53" i="145" s="1"/>
  <c r="G46" i="145"/>
  <c r="F46" i="145"/>
  <c r="E46" i="145"/>
  <c r="D46" i="145"/>
  <c r="C46" i="145"/>
  <c r="B46" i="145"/>
  <c r="U45" i="145"/>
  <c r="H45" i="145"/>
  <c r="U44" i="145"/>
  <c r="H44" i="145"/>
  <c r="U43" i="145"/>
  <c r="H43" i="145"/>
  <c r="U42" i="145"/>
  <c r="H42" i="145"/>
  <c r="U41" i="145"/>
  <c r="H41" i="145"/>
  <c r="U40" i="145"/>
  <c r="H40" i="145"/>
  <c r="U39" i="145"/>
  <c r="H39" i="145"/>
  <c r="V29" i="145"/>
  <c r="U29" i="145"/>
  <c r="T29" i="145"/>
  <c r="S29" i="145"/>
  <c r="R29" i="145"/>
  <c r="Q29" i="145"/>
  <c r="P29" i="145"/>
  <c r="O29" i="145"/>
  <c r="N29" i="145"/>
  <c r="M29" i="145"/>
  <c r="K29" i="145"/>
  <c r="J29" i="145"/>
  <c r="I29" i="145"/>
  <c r="H29" i="145"/>
  <c r="F29" i="145"/>
  <c r="E29" i="145"/>
  <c r="D29" i="145"/>
  <c r="C29" i="145"/>
  <c r="B29" i="145"/>
  <c r="V28" i="145"/>
  <c r="U28" i="145"/>
  <c r="T28" i="145"/>
  <c r="S28" i="145"/>
  <c r="R28" i="145"/>
  <c r="Q28" i="145"/>
  <c r="P28" i="145"/>
  <c r="O28" i="145"/>
  <c r="N28" i="145"/>
  <c r="M28" i="145"/>
  <c r="K28" i="145"/>
  <c r="J28" i="145"/>
  <c r="I28" i="145"/>
  <c r="H28" i="145"/>
  <c r="F28" i="145"/>
  <c r="E28" i="145"/>
  <c r="D28" i="145"/>
  <c r="C28" i="145"/>
  <c r="B28" i="145"/>
  <c r="W27" i="145"/>
  <c r="V25" i="145"/>
  <c r="V30" i="145" s="1"/>
  <c r="V32" i="145" s="1"/>
  <c r="U25" i="145"/>
  <c r="U30" i="145" s="1"/>
  <c r="U32" i="145" s="1"/>
  <c r="T25" i="145"/>
  <c r="T30" i="145" s="1"/>
  <c r="T32" i="145" s="1"/>
  <c r="S25" i="145"/>
  <c r="R25" i="145"/>
  <c r="R30" i="145" s="1"/>
  <c r="R32" i="145" s="1"/>
  <c r="Q25" i="145"/>
  <c r="Q30" i="145" s="1"/>
  <c r="Q32" i="145" s="1"/>
  <c r="P25" i="145"/>
  <c r="P30" i="145" s="1"/>
  <c r="P32" i="145" s="1"/>
  <c r="O25" i="145"/>
  <c r="O30" i="145" s="1"/>
  <c r="O32" i="145" s="1"/>
  <c r="N25" i="145"/>
  <c r="N30" i="145" s="1"/>
  <c r="N32" i="145" s="1"/>
  <c r="M25" i="145"/>
  <c r="M30" i="145" s="1"/>
  <c r="M32" i="145" s="1"/>
  <c r="L25" i="145"/>
  <c r="K25" i="145"/>
  <c r="K30" i="145" s="1"/>
  <c r="K32" i="145" s="1"/>
  <c r="J25" i="145"/>
  <c r="J30" i="145" s="1"/>
  <c r="J32" i="145" s="1"/>
  <c r="I25" i="145"/>
  <c r="I30" i="145" s="1"/>
  <c r="I32" i="145" s="1"/>
  <c r="H25" i="145"/>
  <c r="H30" i="145" s="1"/>
  <c r="H32" i="145" s="1"/>
  <c r="G25" i="145"/>
  <c r="F25" i="145"/>
  <c r="F30" i="145" s="1"/>
  <c r="F32" i="145" s="1"/>
  <c r="E25" i="145"/>
  <c r="E30" i="145" s="1"/>
  <c r="E32" i="145" s="1"/>
  <c r="D25" i="145"/>
  <c r="C25" i="145"/>
  <c r="B25" i="145"/>
  <c r="B30" i="145" s="1"/>
  <c r="B32" i="145" s="1"/>
  <c r="W24" i="145"/>
  <c r="W23" i="145"/>
  <c r="W22" i="145"/>
  <c r="W21" i="145"/>
  <c r="W20" i="145"/>
  <c r="W19" i="145"/>
  <c r="W18" i="145"/>
  <c r="T73" i="145" l="1"/>
  <c r="V31" i="145"/>
  <c r="P52" i="145"/>
  <c r="C31" i="145"/>
  <c r="M31" i="145"/>
  <c r="D73" i="145"/>
  <c r="N31" i="145"/>
  <c r="T52" i="145"/>
  <c r="B51" i="145"/>
  <c r="B53" i="145" s="1"/>
  <c r="B52" i="145"/>
  <c r="C51" i="145"/>
  <c r="C53" i="145" s="1"/>
  <c r="C52" i="145"/>
  <c r="D51" i="145"/>
  <c r="D53" i="145" s="1"/>
  <c r="D52" i="145"/>
  <c r="E51" i="145"/>
  <c r="E53" i="145" s="1"/>
  <c r="E52" i="145"/>
  <c r="F52" i="145"/>
  <c r="F51" i="145"/>
  <c r="F53" i="145" s="1"/>
  <c r="G51" i="145"/>
  <c r="G53" i="145" s="1"/>
  <c r="G52" i="145"/>
  <c r="G30" i="145"/>
  <c r="G32" i="145" s="1"/>
  <c r="G31" i="145"/>
  <c r="U31" i="145"/>
  <c r="S31" i="145"/>
  <c r="M73" i="145"/>
  <c r="S52" i="145"/>
  <c r="R52" i="145"/>
  <c r="O52" i="145"/>
  <c r="U46" i="145"/>
  <c r="U47" i="145" s="1"/>
  <c r="L30" i="145"/>
  <c r="L32" i="145" s="1"/>
  <c r="L31" i="145"/>
  <c r="E31" i="145"/>
  <c r="F31" i="145"/>
  <c r="Q52" i="145"/>
  <c r="H46" i="145"/>
  <c r="H47" i="145" s="1"/>
  <c r="D31" i="145"/>
  <c r="L73" i="145"/>
  <c r="G73" i="145"/>
  <c r="O73" i="145"/>
  <c r="W67" i="145"/>
  <c r="W70" i="145" s="1"/>
  <c r="P73" i="145"/>
  <c r="H73" i="145"/>
  <c r="I73" i="145"/>
  <c r="Q73" i="145"/>
  <c r="J73" i="145"/>
  <c r="K73" i="145"/>
  <c r="S73" i="145"/>
  <c r="C73" i="145"/>
  <c r="R73" i="145"/>
  <c r="B73" i="145"/>
  <c r="F73" i="145"/>
  <c r="N73" i="145"/>
  <c r="V73" i="145"/>
  <c r="I31" i="145"/>
  <c r="Q31" i="145"/>
  <c r="W25" i="145"/>
  <c r="W26" i="145" s="1"/>
  <c r="O31" i="145"/>
  <c r="H31" i="145"/>
  <c r="P31" i="145"/>
  <c r="B31" i="145"/>
  <c r="J31" i="145"/>
  <c r="R31" i="145"/>
  <c r="K31" i="145"/>
  <c r="E73" i="145"/>
  <c r="T31" i="145"/>
  <c r="C30" i="145"/>
  <c r="C32" i="145" s="1"/>
  <c r="S30" i="145"/>
  <c r="S32" i="145" s="1"/>
  <c r="Q51" i="145"/>
  <c r="Q53" i="145" s="1"/>
  <c r="D72" i="145"/>
  <c r="D74" i="145" s="1"/>
  <c r="L72" i="145"/>
  <c r="L74" i="145" s="1"/>
  <c r="T72" i="145"/>
  <c r="T74" i="145" s="1"/>
  <c r="U73" i="145"/>
  <c r="D30" i="145"/>
  <c r="D32" i="145" s="1"/>
  <c r="M72" i="145"/>
  <c r="M74" i="145" s="1"/>
  <c r="V71" i="144"/>
  <c r="U71" i="144"/>
  <c r="T71" i="144"/>
  <c r="S71" i="144"/>
  <c r="R71" i="144"/>
  <c r="Q71" i="144"/>
  <c r="P71" i="144"/>
  <c r="O71" i="144"/>
  <c r="N71" i="144"/>
  <c r="M71" i="144"/>
  <c r="L71" i="144"/>
  <c r="K71" i="144"/>
  <c r="J71" i="144"/>
  <c r="I71" i="144"/>
  <c r="H71" i="144"/>
  <c r="G71" i="144"/>
  <c r="F71" i="144"/>
  <c r="E71" i="144"/>
  <c r="D71" i="144"/>
  <c r="C71" i="144"/>
  <c r="B71" i="144"/>
  <c r="V70" i="144"/>
  <c r="U70" i="144"/>
  <c r="T70" i="144"/>
  <c r="S70" i="144"/>
  <c r="R70" i="144"/>
  <c r="Q70" i="144"/>
  <c r="P70" i="144"/>
  <c r="O70" i="144"/>
  <c r="N70" i="144"/>
  <c r="M70" i="144"/>
  <c r="L70" i="144"/>
  <c r="K70" i="144"/>
  <c r="J70" i="144"/>
  <c r="I70" i="144"/>
  <c r="H70" i="144"/>
  <c r="G70" i="144"/>
  <c r="F70" i="144"/>
  <c r="E70" i="144"/>
  <c r="D70" i="144"/>
  <c r="C70" i="144"/>
  <c r="B70" i="144"/>
  <c r="W69" i="144"/>
  <c r="V67" i="144"/>
  <c r="V72" i="144" s="1"/>
  <c r="V74" i="144" s="1"/>
  <c r="U67" i="144"/>
  <c r="T67" i="144"/>
  <c r="S67" i="144"/>
  <c r="S72" i="144" s="1"/>
  <c r="S74" i="144" s="1"/>
  <c r="R67" i="144"/>
  <c r="R72" i="144" s="1"/>
  <c r="R74" i="144" s="1"/>
  <c r="Q67" i="144"/>
  <c r="Q72" i="144" s="1"/>
  <c r="Q74" i="144" s="1"/>
  <c r="P67" i="144"/>
  <c r="P72" i="144" s="1"/>
  <c r="P74" i="144" s="1"/>
  <c r="O67" i="144"/>
  <c r="O72" i="144" s="1"/>
  <c r="O74" i="144" s="1"/>
  <c r="N67" i="144"/>
  <c r="N72" i="144" s="1"/>
  <c r="N74" i="144" s="1"/>
  <c r="M67" i="144"/>
  <c r="L67" i="144"/>
  <c r="L72" i="144" s="1"/>
  <c r="L74" i="144" s="1"/>
  <c r="K67" i="144"/>
  <c r="K72" i="144" s="1"/>
  <c r="K74" i="144" s="1"/>
  <c r="J67" i="144"/>
  <c r="J72" i="144" s="1"/>
  <c r="J74" i="144" s="1"/>
  <c r="I67" i="144"/>
  <c r="I72" i="144" s="1"/>
  <c r="I74" i="144" s="1"/>
  <c r="H67" i="144"/>
  <c r="H72" i="144" s="1"/>
  <c r="H74" i="144" s="1"/>
  <c r="G67" i="144"/>
  <c r="G72" i="144" s="1"/>
  <c r="G74" i="144" s="1"/>
  <c r="F67" i="144"/>
  <c r="F72" i="144" s="1"/>
  <c r="F74" i="144" s="1"/>
  <c r="E67" i="144"/>
  <c r="E72" i="144" s="1"/>
  <c r="E74" i="144" s="1"/>
  <c r="D67" i="144"/>
  <c r="C67" i="144"/>
  <c r="C72" i="144" s="1"/>
  <c r="C74" i="144" s="1"/>
  <c r="B67" i="144"/>
  <c r="B72" i="144" s="1"/>
  <c r="B74" i="144" s="1"/>
  <c r="W66" i="144"/>
  <c r="W65" i="144"/>
  <c r="W64" i="144"/>
  <c r="W63" i="144"/>
  <c r="W62" i="144"/>
  <c r="W61" i="144"/>
  <c r="W60" i="144"/>
  <c r="T50" i="144"/>
  <c r="S50" i="144"/>
  <c r="R50" i="144"/>
  <c r="Q50" i="144"/>
  <c r="P50" i="144"/>
  <c r="O50" i="144"/>
  <c r="G50" i="144"/>
  <c r="F50" i="144"/>
  <c r="E50" i="144"/>
  <c r="D50" i="144"/>
  <c r="C50" i="144"/>
  <c r="B50" i="144"/>
  <c r="T49" i="144"/>
  <c r="S49" i="144"/>
  <c r="R49" i="144"/>
  <c r="Q49" i="144"/>
  <c r="P49" i="144"/>
  <c r="O49" i="144"/>
  <c r="G49" i="144"/>
  <c r="F49" i="144"/>
  <c r="E49" i="144"/>
  <c r="D49" i="144"/>
  <c r="C49" i="144"/>
  <c r="B49" i="144"/>
  <c r="U48" i="144"/>
  <c r="H48" i="144"/>
  <c r="T46" i="144"/>
  <c r="T51" i="144" s="1"/>
  <c r="T53" i="144" s="1"/>
  <c r="S46" i="144"/>
  <c r="S51" i="144" s="1"/>
  <c r="S53" i="144" s="1"/>
  <c r="R46" i="144"/>
  <c r="R51" i="144" s="1"/>
  <c r="R53" i="144" s="1"/>
  <c r="Q46" i="144"/>
  <c r="P46" i="144"/>
  <c r="P51" i="144" s="1"/>
  <c r="P53" i="144" s="1"/>
  <c r="O46" i="144"/>
  <c r="O51" i="144" s="1"/>
  <c r="O53" i="144" s="1"/>
  <c r="G46" i="144"/>
  <c r="G51" i="144" s="1"/>
  <c r="G53" i="144" s="1"/>
  <c r="F46" i="144"/>
  <c r="F51" i="144" s="1"/>
  <c r="F53" i="144" s="1"/>
  <c r="E46" i="144"/>
  <c r="E51" i="144" s="1"/>
  <c r="E53" i="144" s="1"/>
  <c r="D46" i="144"/>
  <c r="D51" i="144" s="1"/>
  <c r="D53" i="144" s="1"/>
  <c r="C46" i="144"/>
  <c r="B46" i="144"/>
  <c r="U45" i="144"/>
  <c r="H45" i="144"/>
  <c r="U44" i="144"/>
  <c r="H44" i="144"/>
  <c r="U43" i="144"/>
  <c r="H43" i="144"/>
  <c r="U42" i="144"/>
  <c r="H42" i="144"/>
  <c r="U41" i="144"/>
  <c r="H41" i="144"/>
  <c r="U40" i="144"/>
  <c r="H40" i="144"/>
  <c r="U39" i="144"/>
  <c r="H39" i="144"/>
  <c r="V29" i="144"/>
  <c r="U29" i="144"/>
  <c r="T29" i="144"/>
  <c r="S29" i="144"/>
  <c r="R29" i="144"/>
  <c r="Q29" i="144"/>
  <c r="P29" i="144"/>
  <c r="O29" i="144"/>
  <c r="N29" i="144"/>
  <c r="M29" i="144"/>
  <c r="L29" i="144"/>
  <c r="K29" i="144"/>
  <c r="J29" i="144"/>
  <c r="I29" i="144"/>
  <c r="H29" i="144"/>
  <c r="G29" i="144"/>
  <c r="F29" i="144"/>
  <c r="E29" i="144"/>
  <c r="D29" i="144"/>
  <c r="C29" i="144"/>
  <c r="B29" i="144"/>
  <c r="V28" i="144"/>
  <c r="U28" i="144"/>
  <c r="T28" i="144"/>
  <c r="S28" i="144"/>
  <c r="R28" i="144"/>
  <c r="Q28" i="144"/>
  <c r="P28" i="144"/>
  <c r="O28" i="144"/>
  <c r="N28" i="144"/>
  <c r="M28" i="144"/>
  <c r="L28" i="144"/>
  <c r="K28" i="144"/>
  <c r="J28" i="144"/>
  <c r="I28" i="144"/>
  <c r="H28" i="144"/>
  <c r="G28" i="144"/>
  <c r="F28" i="144"/>
  <c r="E28" i="144"/>
  <c r="D28" i="144"/>
  <c r="C28" i="144"/>
  <c r="B28" i="144"/>
  <c r="W27" i="144"/>
  <c r="V25" i="144"/>
  <c r="V30" i="144" s="1"/>
  <c r="V32" i="144" s="1"/>
  <c r="U25" i="144"/>
  <c r="U30" i="144" s="1"/>
  <c r="U32" i="144" s="1"/>
  <c r="T25" i="144"/>
  <c r="T30" i="144" s="1"/>
  <c r="T32" i="144" s="1"/>
  <c r="S25" i="144"/>
  <c r="R25" i="144"/>
  <c r="R30" i="144" s="1"/>
  <c r="R32" i="144" s="1"/>
  <c r="Q25" i="144"/>
  <c r="Q30" i="144" s="1"/>
  <c r="Q32" i="144" s="1"/>
  <c r="P25" i="144"/>
  <c r="P30" i="144" s="1"/>
  <c r="P32" i="144" s="1"/>
  <c r="O25" i="144"/>
  <c r="O30" i="144" s="1"/>
  <c r="O32" i="144" s="1"/>
  <c r="N25" i="144"/>
  <c r="N30" i="144" s="1"/>
  <c r="N32" i="144" s="1"/>
  <c r="M25" i="144"/>
  <c r="M30" i="144" s="1"/>
  <c r="M32" i="144" s="1"/>
  <c r="L25" i="144"/>
  <c r="L30" i="144" s="1"/>
  <c r="L32" i="144" s="1"/>
  <c r="K25" i="144"/>
  <c r="J25" i="144"/>
  <c r="J30" i="144" s="1"/>
  <c r="J32" i="144" s="1"/>
  <c r="I25" i="144"/>
  <c r="I30" i="144" s="1"/>
  <c r="I32" i="144" s="1"/>
  <c r="H25" i="144"/>
  <c r="H30" i="144" s="1"/>
  <c r="H32" i="144" s="1"/>
  <c r="G25" i="144"/>
  <c r="G30" i="144" s="1"/>
  <c r="G32" i="144" s="1"/>
  <c r="F25" i="144"/>
  <c r="F30" i="144" s="1"/>
  <c r="F32" i="144" s="1"/>
  <c r="E25" i="144"/>
  <c r="E30" i="144" s="1"/>
  <c r="E32" i="144" s="1"/>
  <c r="D25" i="144"/>
  <c r="C25" i="144"/>
  <c r="C30" i="144" s="1"/>
  <c r="C32" i="144" s="1"/>
  <c r="B25" i="144"/>
  <c r="B30" i="144" s="1"/>
  <c r="B32" i="144" s="1"/>
  <c r="W24" i="144"/>
  <c r="W23" i="144"/>
  <c r="W22" i="144"/>
  <c r="W21" i="144"/>
  <c r="W20" i="144"/>
  <c r="W19" i="144"/>
  <c r="W18" i="144"/>
  <c r="U73" i="144" l="1"/>
  <c r="K31" i="144"/>
  <c r="T73" i="144"/>
  <c r="D31" i="144"/>
  <c r="M73" i="144"/>
  <c r="S31" i="144"/>
  <c r="D73" i="144"/>
  <c r="U49" i="145"/>
  <c r="W68" i="145"/>
  <c r="H49" i="145"/>
  <c r="W28" i="145"/>
  <c r="F31" i="144"/>
  <c r="N31" i="144"/>
  <c r="V31" i="144"/>
  <c r="C52" i="144"/>
  <c r="D52" i="144"/>
  <c r="E52" i="144"/>
  <c r="F52" i="144"/>
  <c r="G52" i="144"/>
  <c r="H46" i="144"/>
  <c r="H49" i="144" s="1"/>
  <c r="B52" i="144"/>
  <c r="U46" i="144"/>
  <c r="U49" i="144" s="1"/>
  <c r="O52" i="144"/>
  <c r="P52" i="144"/>
  <c r="Q52" i="144"/>
  <c r="S52" i="144"/>
  <c r="T52" i="144"/>
  <c r="R52" i="144"/>
  <c r="I73" i="144"/>
  <c r="Q73" i="144"/>
  <c r="B73" i="144"/>
  <c r="J73" i="144"/>
  <c r="R73" i="144"/>
  <c r="W67" i="144"/>
  <c r="W68" i="144" s="1"/>
  <c r="H73" i="144"/>
  <c r="P73" i="144"/>
  <c r="S73" i="144"/>
  <c r="F73" i="144"/>
  <c r="N73" i="144"/>
  <c r="V73" i="144"/>
  <c r="C73" i="144"/>
  <c r="K73" i="144"/>
  <c r="G73" i="144"/>
  <c r="O73" i="144"/>
  <c r="O31" i="144"/>
  <c r="G31" i="144"/>
  <c r="W25" i="144"/>
  <c r="W26" i="144" s="1"/>
  <c r="H31" i="144"/>
  <c r="P31" i="144"/>
  <c r="Q31" i="144"/>
  <c r="B31" i="144"/>
  <c r="J31" i="144"/>
  <c r="R31" i="144"/>
  <c r="I31" i="144"/>
  <c r="E31" i="144"/>
  <c r="M31" i="144"/>
  <c r="U31" i="144"/>
  <c r="C31" i="144"/>
  <c r="L73" i="144"/>
  <c r="L31" i="144"/>
  <c r="T31" i="144"/>
  <c r="E73" i="144"/>
  <c r="K30" i="144"/>
  <c r="K32" i="144" s="1"/>
  <c r="S30" i="144"/>
  <c r="S32" i="144" s="1"/>
  <c r="B51" i="144"/>
  <c r="B53" i="144" s="1"/>
  <c r="Q51" i="144"/>
  <c r="Q53" i="144" s="1"/>
  <c r="D72" i="144"/>
  <c r="D74" i="144" s="1"/>
  <c r="T72" i="144"/>
  <c r="T74" i="144" s="1"/>
  <c r="D30" i="144"/>
  <c r="D32" i="144" s="1"/>
  <c r="C51" i="144"/>
  <c r="C53" i="144" s="1"/>
  <c r="M72" i="144"/>
  <c r="M74" i="144" s="1"/>
  <c r="U72" i="144"/>
  <c r="U74" i="144" s="1"/>
  <c r="H47" i="144" l="1"/>
  <c r="U47" i="144"/>
  <c r="W70" i="144"/>
  <c r="W28" i="144"/>
  <c r="V71" i="143"/>
  <c r="U71" i="143"/>
  <c r="T71" i="143"/>
  <c r="S71" i="143"/>
  <c r="R71" i="143"/>
  <c r="Q71" i="143"/>
  <c r="P71" i="143"/>
  <c r="O71" i="143"/>
  <c r="N71" i="143"/>
  <c r="M71" i="143"/>
  <c r="L71" i="143"/>
  <c r="K71" i="143"/>
  <c r="J71" i="143"/>
  <c r="I71" i="143"/>
  <c r="H71" i="143"/>
  <c r="G71" i="143"/>
  <c r="F71" i="143"/>
  <c r="E71" i="143"/>
  <c r="D71" i="143"/>
  <c r="C71" i="143"/>
  <c r="B71" i="143"/>
  <c r="V70" i="143"/>
  <c r="U70" i="143"/>
  <c r="T70" i="143"/>
  <c r="S70" i="143"/>
  <c r="R70" i="143"/>
  <c r="Q70" i="143"/>
  <c r="P70" i="143"/>
  <c r="O70" i="143"/>
  <c r="N70" i="143"/>
  <c r="M70" i="143"/>
  <c r="L70" i="143"/>
  <c r="K70" i="143"/>
  <c r="J70" i="143"/>
  <c r="I70" i="143"/>
  <c r="H70" i="143"/>
  <c r="G70" i="143"/>
  <c r="F70" i="143"/>
  <c r="E70" i="143"/>
  <c r="D70" i="143"/>
  <c r="C70" i="143"/>
  <c r="B70" i="143"/>
  <c r="W69" i="143"/>
  <c r="V67" i="143"/>
  <c r="V72" i="143" s="1"/>
  <c r="V74" i="143" s="1"/>
  <c r="U67" i="143"/>
  <c r="U72" i="143" s="1"/>
  <c r="U74" i="143" s="1"/>
  <c r="T67" i="143"/>
  <c r="T72" i="143" s="1"/>
  <c r="T74" i="143" s="1"/>
  <c r="S67" i="143"/>
  <c r="S72" i="143" s="1"/>
  <c r="S74" i="143" s="1"/>
  <c r="R67" i="143"/>
  <c r="R72" i="143" s="1"/>
  <c r="R74" i="143" s="1"/>
  <c r="Q67" i="143"/>
  <c r="Q72" i="143" s="1"/>
  <c r="Q74" i="143" s="1"/>
  <c r="P67" i="143"/>
  <c r="O67" i="143"/>
  <c r="N67" i="143"/>
  <c r="N72" i="143" s="1"/>
  <c r="N74" i="143" s="1"/>
  <c r="M67" i="143"/>
  <c r="M72" i="143" s="1"/>
  <c r="M74" i="143" s="1"/>
  <c r="L67" i="143"/>
  <c r="L72" i="143" s="1"/>
  <c r="L74" i="143" s="1"/>
  <c r="K67" i="143"/>
  <c r="K72" i="143" s="1"/>
  <c r="K74" i="143" s="1"/>
  <c r="J67" i="143"/>
  <c r="J72" i="143" s="1"/>
  <c r="J74" i="143" s="1"/>
  <c r="I67" i="143"/>
  <c r="I72" i="143" s="1"/>
  <c r="I74" i="143" s="1"/>
  <c r="H67" i="143"/>
  <c r="G67" i="143"/>
  <c r="F67" i="143"/>
  <c r="F72" i="143" s="1"/>
  <c r="F74" i="143" s="1"/>
  <c r="E67" i="143"/>
  <c r="E72" i="143" s="1"/>
  <c r="E74" i="143" s="1"/>
  <c r="D67" i="143"/>
  <c r="D72" i="143" s="1"/>
  <c r="D74" i="143" s="1"/>
  <c r="C67" i="143"/>
  <c r="C72" i="143" s="1"/>
  <c r="C74" i="143" s="1"/>
  <c r="B67" i="143"/>
  <c r="B72" i="143" s="1"/>
  <c r="B74" i="143" s="1"/>
  <c r="W66" i="143"/>
  <c r="W65" i="143"/>
  <c r="W64" i="143"/>
  <c r="W63" i="143"/>
  <c r="W62" i="143"/>
  <c r="W61" i="143"/>
  <c r="W60" i="143"/>
  <c r="T50" i="143"/>
  <c r="S50" i="143"/>
  <c r="R50" i="143"/>
  <c r="Q50" i="143"/>
  <c r="P50" i="143"/>
  <c r="O50" i="143"/>
  <c r="G50" i="143"/>
  <c r="F50" i="143"/>
  <c r="E50" i="143"/>
  <c r="D50" i="143"/>
  <c r="C50" i="143"/>
  <c r="B50" i="143"/>
  <c r="T49" i="143"/>
  <c r="S49" i="143"/>
  <c r="R49" i="143"/>
  <c r="Q49" i="143"/>
  <c r="P49" i="143"/>
  <c r="O49" i="143"/>
  <c r="G49" i="143"/>
  <c r="F49" i="143"/>
  <c r="E49" i="143"/>
  <c r="D49" i="143"/>
  <c r="C49" i="143"/>
  <c r="B49" i="143"/>
  <c r="U48" i="143"/>
  <c r="H48" i="143"/>
  <c r="T46" i="143"/>
  <c r="T51" i="143" s="1"/>
  <c r="T53" i="143" s="1"/>
  <c r="S46" i="143"/>
  <c r="S51" i="143" s="1"/>
  <c r="S53" i="143" s="1"/>
  <c r="R46" i="143"/>
  <c r="R51" i="143" s="1"/>
  <c r="R53" i="143" s="1"/>
  <c r="Q46" i="143"/>
  <c r="Q51" i="143" s="1"/>
  <c r="Q53" i="143" s="1"/>
  <c r="P46" i="143"/>
  <c r="P51" i="143" s="1"/>
  <c r="P53" i="143" s="1"/>
  <c r="O46" i="143"/>
  <c r="O51" i="143" s="1"/>
  <c r="O53" i="143" s="1"/>
  <c r="G46" i="143"/>
  <c r="G51" i="143" s="1"/>
  <c r="G53" i="143" s="1"/>
  <c r="F46" i="143"/>
  <c r="F51" i="143" s="1"/>
  <c r="F53" i="143" s="1"/>
  <c r="E46" i="143"/>
  <c r="E51" i="143" s="1"/>
  <c r="E53" i="143" s="1"/>
  <c r="D46" i="143"/>
  <c r="D51" i="143" s="1"/>
  <c r="D53" i="143" s="1"/>
  <c r="C46" i="143"/>
  <c r="C51" i="143" s="1"/>
  <c r="C53" i="143" s="1"/>
  <c r="B46" i="143"/>
  <c r="B51" i="143" s="1"/>
  <c r="B53" i="143" s="1"/>
  <c r="U45" i="143"/>
  <c r="H45" i="143"/>
  <c r="U44" i="143"/>
  <c r="H44" i="143"/>
  <c r="U43" i="143"/>
  <c r="H43" i="143"/>
  <c r="U42" i="143"/>
  <c r="H42" i="143"/>
  <c r="U41" i="143"/>
  <c r="H41" i="143"/>
  <c r="U40" i="143"/>
  <c r="H40" i="143"/>
  <c r="U39" i="143"/>
  <c r="H39" i="143"/>
  <c r="V29" i="143"/>
  <c r="U29" i="143"/>
  <c r="T29" i="143"/>
  <c r="S29" i="143"/>
  <c r="R29" i="143"/>
  <c r="Q29" i="143"/>
  <c r="P29" i="143"/>
  <c r="O29" i="143"/>
  <c r="N29" i="143"/>
  <c r="M29" i="143"/>
  <c r="L29" i="143"/>
  <c r="K29" i="143"/>
  <c r="J29" i="143"/>
  <c r="I29" i="143"/>
  <c r="H29" i="143"/>
  <c r="G29" i="143"/>
  <c r="F29" i="143"/>
  <c r="E29" i="143"/>
  <c r="D29" i="143"/>
  <c r="C29" i="143"/>
  <c r="B29" i="143"/>
  <c r="V28" i="143"/>
  <c r="U28" i="143"/>
  <c r="T28" i="143"/>
  <c r="S28" i="143"/>
  <c r="R28" i="143"/>
  <c r="Q28" i="143"/>
  <c r="P28" i="143"/>
  <c r="O28" i="143"/>
  <c r="N28" i="143"/>
  <c r="M28" i="143"/>
  <c r="L28" i="143"/>
  <c r="K28" i="143"/>
  <c r="J28" i="143"/>
  <c r="I28" i="143"/>
  <c r="H28" i="143"/>
  <c r="G28" i="143"/>
  <c r="F28" i="143"/>
  <c r="E28" i="143"/>
  <c r="D28" i="143"/>
  <c r="C28" i="143"/>
  <c r="B28" i="143"/>
  <c r="W27" i="143"/>
  <c r="V25" i="143"/>
  <c r="V30" i="143" s="1"/>
  <c r="V32" i="143" s="1"/>
  <c r="U25" i="143"/>
  <c r="U30" i="143" s="1"/>
  <c r="U32" i="143" s="1"/>
  <c r="T25" i="143"/>
  <c r="T30" i="143" s="1"/>
  <c r="T32" i="143" s="1"/>
  <c r="S25" i="143"/>
  <c r="R25" i="143"/>
  <c r="Q25" i="143"/>
  <c r="Q30" i="143" s="1"/>
  <c r="Q32" i="143" s="1"/>
  <c r="P25" i="143"/>
  <c r="P30" i="143" s="1"/>
  <c r="P32" i="143" s="1"/>
  <c r="O25" i="143"/>
  <c r="O30" i="143" s="1"/>
  <c r="O32" i="143" s="1"/>
  <c r="N25" i="143"/>
  <c r="N30" i="143" s="1"/>
  <c r="N32" i="143" s="1"/>
  <c r="M25" i="143"/>
  <c r="M30" i="143" s="1"/>
  <c r="M32" i="143" s="1"/>
  <c r="L25" i="143"/>
  <c r="K25" i="143"/>
  <c r="J25" i="143"/>
  <c r="I25" i="143"/>
  <c r="I30" i="143" s="1"/>
  <c r="I32" i="143" s="1"/>
  <c r="H25" i="143"/>
  <c r="H30" i="143" s="1"/>
  <c r="H32" i="143" s="1"/>
  <c r="G25" i="143"/>
  <c r="G30" i="143" s="1"/>
  <c r="G32" i="143" s="1"/>
  <c r="F25" i="143"/>
  <c r="F30" i="143" s="1"/>
  <c r="F32" i="143" s="1"/>
  <c r="E25" i="143"/>
  <c r="E30" i="143" s="1"/>
  <c r="E32" i="143" s="1"/>
  <c r="D25" i="143"/>
  <c r="D30" i="143" s="1"/>
  <c r="D32" i="143" s="1"/>
  <c r="C25" i="143"/>
  <c r="B25" i="143"/>
  <c r="W24" i="143"/>
  <c r="W23" i="143"/>
  <c r="W22" i="143"/>
  <c r="W21" i="143"/>
  <c r="W20" i="143"/>
  <c r="W19" i="143"/>
  <c r="W18" i="143"/>
  <c r="O73" i="143" l="1"/>
  <c r="P73" i="143"/>
  <c r="G73" i="143"/>
  <c r="K31" i="143"/>
  <c r="H73" i="143"/>
  <c r="L31" i="143"/>
  <c r="S31" i="143"/>
  <c r="C31" i="143"/>
  <c r="J31" i="143"/>
  <c r="B31" i="143"/>
  <c r="R31" i="143"/>
  <c r="B52" i="143"/>
  <c r="E52" i="143"/>
  <c r="I73" i="143"/>
  <c r="Q73" i="143"/>
  <c r="C73" i="143"/>
  <c r="K73" i="143"/>
  <c r="S73" i="143"/>
  <c r="D73" i="143"/>
  <c r="L73" i="143"/>
  <c r="T73" i="143"/>
  <c r="W67" i="143"/>
  <c r="W68" i="143" s="1"/>
  <c r="N73" i="143"/>
  <c r="V73" i="143"/>
  <c r="F73" i="143"/>
  <c r="P52" i="143"/>
  <c r="S52" i="143"/>
  <c r="R52" i="143"/>
  <c r="T52" i="143"/>
  <c r="O52" i="143"/>
  <c r="Q52" i="143"/>
  <c r="D52" i="143"/>
  <c r="G52" i="143"/>
  <c r="H46" i="143"/>
  <c r="H49" i="143" s="1"/>
  <c r="F52" i="143"/>
  <c r="C52" i="143"/>
  <c r="W25" i="143"/>
  <c r="W26" i="143" s="1"/>
  <c r="I31" i="143"/>
  <c r="Q31" i="143"/>
  <c r="G31" i="143"/>
  <c r="F31" i="143"/>
  <c r="N31" i="143"/>
  <c r="V31" i="143"/>
  <c r="O31" i="143"/>
  <c r="T31" i="143"/>
  <c r="J30" i="143"/>
  <c r="J32" i="143" s="1"/>
  <c r="E31" i="143"/>
  <c r="U31" i="143"/>
  <c r="O72" i="143"/>
  <c r="O74" i="143" s="1"/>
  <c r="C30" i="143"/>
  <c r="C32" i="143" s="1"/>
  <c r="K30" i="143"/>
  <c r="K32" i="143" s="1"/>
  <c r="S30" i="143"/>
  <c r="S32" i="143" s="1"/>
  <c r="U46" i="143"/>
  <c r="H72" i="143"/>
  <c r="H74" i="143" s="1"/>
  <c r="P72" i="143"/>
  <c r="P74" i="143" s="1"/>
  <c r="D31" i="143"/>
  <c r="B30" i="143"/>
  <c r="B32" i="143" s="1"/>
  <c r="R30" i="143"/>
  <c r="R32" i="143" s="1"/>
  <c r="M31" i="143"/>
  <c r="G72" i="143"/>
  <c r="G74" i="143" s="1"/>
  <c r="B73" i="143"/>
  <c r="J73" i="143"/>
  <c r="R73" i="143"/>
  <c r="L30" i="143"/>
  <c r="L32" i="143" s="1"/>
  <c r="H31" i="143"/>
  <c r="U73" i="143"/>
  <c r="P31" i="143"/>
  <c r="E73" i="143"/>
  <c r="M73" i="143"/>
  <c r="W70" i="143" l="1"/>
  <c r="H47" i="143"/>
  <c r="W28" i="143"/>
  <c r="U49" i="143"/>
  <c r="U47" i="143"/>
  <c r="T67" i="142"/>
  <c r="V71" i="142" l="1"/>
  <c r="U71" i="142"/>
  <c r="T71" i="142"/>
  <c r="S71" i="142"/>
  <c r="R71" i="142"/>
  <c r="Q71" i="142"/>
  <c r="P71" i="142"/>
  <c r="O71" i="142"/>
  <c r="N71" i="142"/>
  <c r="M71" i="142"/>
  <c r="L71" i="142"/>
  <c r="K71" i="142"/>
  <c r="J71" i="142"/>
  <c r="I71" i="142"/>
  <c r="H71" i="142"/>
  <c r="G71" i="142"/>
  <c r="F71" i="142"/>
  <c r="E71" i="142"/>
  <c r="D71" i="142"/>
  <c r="C71" i="142"/>
  <c r="B71" i="142"/>
  <c r="V70" i="142"/>
  <c r="U70" i="142"/>
  <c r="T70" i="142"/>
  <c r="S70" i="142"/>
  <c r="R70" i="142"/>
  <c r="Q70" i="142"/>
  <c r="P70" i="142"/>
  <c r="O70" i="142"/>
  <c r="N70" i="142"/>
  <c r="M70" i="142"/>
  <c r="L70" i="142"/>
  <c r="K70" i="142"/>
  <c r="J70" i="142"/>
  <c r="I70" i="142"/>
  <c r="H70" i="142"/>
  <c r="G70" i="142"/>
  <c r="F70" i="142"/>
  <c r="E70" i="142"/>
  <c r="D70" i="142"/>
  <c r="C70" i="142"/>
  <c r="B70" i="142"/>
  <c r="W69" i="142"/>
  <c r="V67" i="142"/>
  <c r="V72" i="142" s="1"/>
  <c r="V74" i="142" s="1"/>
  <c r="U67" i="142"/>
  <c r="U72" i="142" s="1"/>
  <c r="U74" i="142" s="1"/>
  <c r="T72" i="142"/>
  <c r="T74" i="142" s="1"/>
  <c r="S67" i="142"/>
  <c r="S72" i="142" s="1"/>
  <c r="S74" i="142" s="1"/>
  <c r="R67" i="142"/>
  <c r="Q67" i="142"/>
  <c r="Q72" i="142" s="1"/>
  <c r="Q74" i="142" s="1"/>
  <c r="P67" i="142"/>
  <c r="P72" i="142" s="1"/>
  <c r="P74" i="142" s="1"/>
  <c r="O67" i="142"/>
  <c r="O72" i="142" s="1"/>
  <c r="O74" i="142" s="1"/>
  <c r="N67" i="142"/>
  <c r="N72" i="142" s="1"/>
  <c r="N74" i="142" s="1"/>
  <c r="M67" i="142"/>
  <c r="M72" i="142" s="1"/>
  <c r="M74" i="142" s="1"/>
  <c r="L67" i="142"/>
  <c r="L72" i="142" s="1"/>
  <c r="L74" i="142" s="1"/>
  <c r="K67" i="142"/>
  <c r="K72" i="142" s="1"/>
  <c r="K74" i="142" s="1"/>
  <c r="J67" i="142"/>
  <c r="J72" i="142" s="1"/>
  <c r="J74" i="142" s="1"/>
  <c r="I67" i="142"/>
  <c r="I72" i="142" s="1"/>
  <c r="I74" i="142" s="1"/>
  <c r="H67" i="142"/>
  <c r="H72" i="142" s="1"/>
  <c r="H74" i="142" s="1"/>
  <c r="G67" i="142"/>
  <c r="G72" i="142" s="1"/>
  <c r="G74" i="142" s="1"/>
  <c r="F67" i="142"/>
  <c r="F72" i="142" s="1"/>
  <c r="F74" i="142" s="1"/>
  <c r="E67" i="142"/>
  <c r="E72" i="142" s="1"/>
  <c r="E74" i="142" s="1"/>
  <c r="D67" i="142"/>
  <c r="D72" i="142" s="1"/>
  <c r="D74" i="142" s="1"/>
  <c r="C67" i="142"/>
  <c r="C72" i="142" s="1"/>
  <c r="C74" i="142" s="1"/>
  <c r="B67" i="142"/>
  <c r="W66" i="142"/>
  <c r="W65" i="142"/>
  <c r="W64" i="142"/>
  <c r="W63" i="142"/>
  <c r="W62" i="142"/>
  <c r="W61" i="142"/>
  <c r="W60" i="142"/>
  <c r="T50" i="142"/>
  <c r="S50" i="142"/>
  <c r="R50" i="142"/>
  <c r="Q50" i="142"/>
  <c r="P50" i="142"/>
  <c r="O50" i="142"/>
  <c r="G50" i="142"/>
  <c r="F50" i="142"/>
  <c r="E50" i="142"/>
  <c r="D50" i="142"/>
  <c r="C50" i="142"/>
  <c r="B50" i="142"/>
  <c r="T49" i="142"/>
  <c r="S49" i="142"/>
  <c r="R49" i="142"/>
  <c r="Q49" i="142"/>
  <c r="P49" i="142"/>
  <c r="O49" i="142"/>
  <c r="G49" i="142"/>
  <c r="F49" i="142"/>
  <c r="E49" i="142"/>
  <c r="D49" i="142"/>
  <c r="C49" i="142"/>
  <c r="B49" i="142"/>
  <c r="U48" i="142"/>
  <c r="H48" i="142"/>
  <c r="T46" i="142"/>
  <c r="T51" i="142" s="1"/>
  <c r="T53" i="142" s="1"/>
  <c r="S46" i="142"/>
  <c r="S51" i="142" s="1"/>
  <c r="S53" i="142" s="1"/>
  <c r="R46" i="142"/>
  <c r="R51" i="142" s="1"/>
  <c r="R53" i="142" s="1"/>
  <c r="Q46" i="142"/>
  <c r="Q51" i="142" s="1"/>
  <c r="Q53" i="142" s="1"/>
  <c r="P46" i="142"/>
  <c r="P51" i="142" s="1"/>
  <c r="P53" i="142" s="1"/>
  <c r="O46" i="142"/>
  <c r="G46" i="142"/>
  <c r="G51" i="142" s="1"/>
  <c r="G53" i="142" s="1"/>
  <c r="F46" i="142"/>
  <c r="F51" i="142" s="1"/>
  <c r="F53" i="142" s="1"/>
  <c r="E46" i="142"/>
  <c r="E51" i="142" s="1"/>
  <c r="E53" i="142" s="1"/>
  <c r="D46" i="142"/>
  <c r="D51" i="142" s="1"/>
  <c r="D53" i="142" s="1"/>
  <c r="C46" i="142"/>
  <c r="C51" i="142" s="1"/>
  <c r="C53" i="142" s="1"/>
  <c r="B46" i="142"/>
  <c r="B51" i="142" s="1"/>
  <c r="B53" i="142" s="1"/>
  <c r="U45" i="142"/>
  <c r="H45" i="142"/>
  <c r="U44" i="142"/>
  <c r="H44" i="142"/>
  <c r="U43" i="142"/>
  <c r="H43" i="142"/>
  <c r="U42" i="142"/>
  <c r="H42" i="142"/>
  <c r="U41" i="142"/>
  <c r="H41" i="142"/>
  <c r="U40" i="142"/>
  <c r="H40" i="142"/>
  <c r="U39" i="142"/>
  <c r="H39" i="142"/>
  <c r="V29" i="142"/>
  <c r="U29" i="142"/>
  <c r="T29" i="142"/>
  <c r="S29" i="142"/>
  <c r="R29" i="142"/>
  <c r="Q29" i="142"/>
  <c r="P29" i="142"/>
  <c r="O29" i="142"/>
  <c r="N29" i="142"/>
  <c r="M29" i="142"/>
  <c r="L29" i="142"/>
  <c r="K29" i="142"/>
  <c r="J29" i="142"/>
  <c r="I29" i="142"/>
  <c r="H29" i="142"/>
  <c r="G29" i="142"/>
  <c r="F29" i="142"/>
  <c r="E29" i="142"/>
  <c r="D29" i="142"/>
  <c r="C29" i="142"/>
  <c r="B29" i="142"/>
  <c r="V28" i="142"/>
  <c r="U28" i="142"/>
  <c r="T28" i="142"/>
  <c r="S28" i="142"/>
  <c r="R28" i="142"/>
  <c r="Q28" i="142"/>
  <c r="P28" i="142"/>
  <c r="O28" i="142"/>
  <c r="N28" i="142"/>
  <c r="M28" i="142"/>
  <c r="L28" i="142"/>
  <c r="K28" i="142"/>
  <c r="J28" i="142"/>
  <c r="I28" i="142"/>
  <c r="H28" i="142"/>
  <c r="G28" i="142"/>
  <c r="F28" i="142"/>
  <c r="E28" i="142"/>
  <c r="D28" i="142"/>
  <c r="C28" i="142"/>
  <c r="B28" i="142"/>
  <c r="W27" i="142"/>
  <c r="V25" i="142"/>
  <c r="V30" i="142" s="1"/>
  <c r="V32" i="142" s="1"/>
  <c r="U25" i="142"/>
  <c r="U30" i="142" s="1"/>
  <c r="U32" i="142" s="1"/>
  <c r="T25" i="142"/>
  <c r="T30" i="142" s="1"/>
  <c r="T32" i="142" s="1"/>
  <c r="S25" i="142"/>
  <c r="S30" i="142" s="1"/>
  <c r="S32" i="142" s="1"/>
  <c r="R25" i="142"/>
  <c r="R30" i="142" s="1"/>
  <c r="R32" i="142" s="1"/>
  <c r="Q25" i="142"/>
  <c r="Q30" i="142" s="1"/>
  <c r="Q32" i="142" s="1"/>
  <c r="P25" i="142"/>
  <c r="P30" i="142" s="1"/>
  <c r="P32" i="142" s="1"/>
  <c r="O25" i="142"/>
  <c r="O30" i="142" s="1"/>
  <c r="O32" i="142" s="1"/>
  <c r="N25" i="142"/>
  <c r="N30" i="142" s="1"/>
  <c r="N32" i="142" s="1"/>
  <c r="M25" i="142"/>
  <c r="M30" i="142" s="1"/>
  <c r="M32" i="142" s="1"/>
  <c r="L25" i="142"/>
  <c r="L30" i="142" s="1"/>
  <c r="L32" i="142" s="1"/>
  <c r="K25" i="142"/>
  <c r="K30" i="142" s="1"/>
  <c r="K32" i="142" s="1"/>
  <c r="J25" i="142"/>
  <c r="J30" i="142" s="1"/>
  <c r="J32" i="142" s="1"/>
  <c r="I25" i="142"/>
  <c r="I30" i="142" s="1"/>
  <c r="I32" i="142" s="1"/>
  <c r="H25" i="142"/>
  <c r="H30" i="142" s="1"/>
  <c r="H32" i="142" s="1"/>
  <c r="G25" i="142"/>
  <c r="G30" i="142" s="1"/>
  <c r="G32" i="142" s="1"/>
  <c r="F25" i="142"/>
  <c r="E25" i="142"/>
  <c r="D25" i="142"/>
  <c r="D30" i="142" s="1"/>
  <c r="D32" i="142" s="1"/>
  <c r="C25" i="142"/>
  <c r="C30" i="142" s="1"/>
  <c r="C32" i="142" s="1"/>
  <c r="B25" i="142"/>
  <c r="B30" i="142" s="1"/>
  <c r="B32" i="142" s="1"/>
  <c r="W24" i="142"/>
  <c r="W23" i="142"/>
  <c r="W22" i="142"/>
  <c r="W21" i="142"/>
  <c r="W20" i="142"/>
  <c r="W19" i="142"/>
  <c r="W18" i="142"/>
  <c r="R73" i="142" l="1"/>
  <c r="B73" i="142"/>
  <c r="F31" i="142"/>
  <c r="O51" i="142"/>
  <c r="O53" i="142" s="1"/>
  <c r="U46" i="142"/>
  <c r="E31" i="142"/>
  <c r="C31" i="142"/>
  <c r="K31" i="142"/>
  <c r="S31" i="142"/>
  <c r="H73" i="142"/>
  <c r="P73" i="142"/>
  <c r="E73" i="142"/>
  <c r="I73" i="142"/>
  <c r="Q73" i="142"/>
  <c r="J73" i="142"/>
  <c r="S73" i="142"/>
  <c r="T73" i="142"/>
  <c r="L73" i="142"/>
  <c r="U73" i="142"/>
  <c r="F73" i="142"/>
  <c r="N73" i="142"/>
  <c r="V73" i="142"/>
  <c r="C73" i="142"/>
  <c r="G73" i="142"/>
  <c r="O73" i="142"/>
  <c r="D73" i="142"/>
  <c r="S52" i="142"/>
  <c r="T52" i="142"/>
  <c r="O52" i="142"/>
  <c r="P52" i="142"/>
  <c r="Q52" i="142"/>
  <c r="R52" i="142"/>
  <c r="B52" i="142"/>
  <c r="C52" i="142"/>
  <c r="D52" i="142"/>
  <c r="E52" i="142"/>
  <c r="F52" i="142"/>
  <c r="G52" i="142"/>
  <c r="W25" i="142"/>
  <c r="W26" i="142" s="1"/>
  <c r="I31" i="142"/>
  <c r="Q31" i="142"/>
  <c r="H31" i="142"/>
  <c r="P31" i="142"/>
  <c r="U31" i="142"/>
  <c r="B31" i="142"/>
  <c r="J31" i="142"/>
  <c r="R31" i="142"/>
  <c r="D31" i="142"/>
  <c r="L31" i="142"/>
  <c r="T31" i="142"/>
  <c r="V31" i="142"/>
  <c r="E30" i="142"/>
  <c r="E32" i="142" s="1"/>
  <c r="F30" i="142"/>
  <c r="F32" i="142" s="1"/>
  <c r="M31" i="142"/>
  <c r="W67" i="142"/>
  <c r="K73" i="142"/>
  <c r="N31" i="142"/>
  <c r="H46" i="142"/>
  <c r="O31" i="142"/>
  <c r="B72" i="142"/>
  <c r="B74" i="142" s="1"/>
  <c r="R72" i="142"/>
  <c r="R74" i="142" s="1"/>
  <c r="M73" i="142"/>
  <c r="G31" i="142"/>
  <c r="W28" i="142" l="1"/>
  <c r="U47" i="142"/>
  <c r="U49" i="142"/>
  <c r="W68" i="142"/>
  <c r="W70" i="142"/>
  <c r="H49" i="142"/>
  <c r="H47" i="142"/>
  <c r="E49" i="141" l="1"/>
  <c r="E50" i="141"/>
  <c r="B46" i="141" l="1"/>
  <c r="C46" i="141"/>
  <c r="D46" i="141"/>
  <c r="E46" i="141"/>
  <c r="F46" i="141"/>
  <c r="G46" i="141"/>
  <c r="E51" i="141" l="1"/>
  <c r="E53" i="141" s="1"/>
  <c r="E52" i="141"/>
  <c r="W19" i="141" l="1"/>
  <c r="C76" i="141" l="1"/>
  <c r="D76" i="141"/>
  <c r="E76" i="141"/>
  <c r="F76" i="141"/>
  <c r="G76" i="141"/>
  <c r="H76" i="141"/>
  <c r="I76" i="141"/>
  <c r="J76" i="141"/>
  <c r="K76" i="141"/>
  <c r="L76" i="141"/>
  <c r="M76" i="141"/>
  <c r="N76" i="141"/>
  <c r="O76" i="141"/>
  <c r="P76" i="141"/>
  <c r="Q76" i="141"/>
  <c r="R76" i="141"/>
  <c r="S76" i="141"/>
  <c r="T76" i="141"/>
  <c r="U76" i="141"/>
  <c r="V76" i="141"/>
  <c r="B76" i="141"/>
  <c r="C77" i="140"/>
  <c r="D77" i="140"/>
  <c r="E77" i="140"/>
  <c r="F77" i="140"/>
  <c r="G77" i="140"/>
  <c r="H77" i="140"/>
  <c r="I77" i="140"/>
  <c r="J77" i="140"/>
  <c r="K77" i="140"/>
  <c r="L77" i="140"/>
  <c r="M77" i="140"/>
  <c r="N77" i="140"/>
  <c r="O77" i="140"/>
  <c r="P77" i="140"/>
  <c r="Q77" i="140"/>
  <c r="R77" i="140"/>
  <c r="S77" i="140"/>
  <c r="T77" i="140"/>
  <c r="U77" i="140"/>
  <c r="V77" i="140"/>
  <c r="B77" i="140"/>
  <c r="P56" i="141"/>
  <c r="Q56" i="141"/>
  <c r="R56" i="141"/>
  <c r="S56" i="141"/>
  <c r="T56" i="141"/>
  <c r="O56" i="141"/>
  <c r="P55" i="140"/>
  <c r="Q55" i="140"/>
  <c r="R55" i="140"/>
  <c r="S55" i="140"/>
  <c r="T55" i="140"/>
  <c r="O55" i="140"/>
  <c r="V71" i="141"/>
  <c r="U71" i="141"/>
  <c r="T71" i="141"/>
  <c r="S71" i="141"/>
  <c r="R71" i="141"/>
  <c r="Q71" i="141"/>
  <c r="P71" i="141"/>
  <c r="O71" i="141"/>
  <c r="N71" i="141"/>
  <c r="M71" i="141"/>
  <c r="L71" i="141"/>
  <c r="K71" i="141"/>
  <c r="J71" i="141"/>
  <c r="I71" i="141"/>
  <c r="H71" i="141"/>
  <c r="G71" i="141"/>
  <c r="F71" i="141"/>
  <c r="E71" i="141"/>
  <c r="D71" i="141"/>
  <c r="C71" i="141"/>
  <c r="B71" i="141"/>
  <c r="V70" i="141"/>
  <c r="U70" i="141"/>
  <c r="T70" i="141"/>
  <c r="S70" i="141"/>
  <c r="R70" i="141"/>
  <c r="Q70" i="141"/>
  <c r="P70" i="141"/>
  <c r="O70" i="141"/>
  <c r="N70" i="141"/>
  <c r="M70" i="141"/>
  <c r="L70" i="141"/>
  <c r="K70" i="141"/>
  <c r="J70" i="141"/>
  <c r="I70" i="141"/>
  <c r="H70" i="141"/>
  <c r="G70" i="141"/>
  <c r="F70" i="141"/>
  <c r="E70" i="141"/>
  <c r="D70" i="141"/>
  <c r="C70" i="141"/>
  <c r="B70" i="141"/>
  <c r="W69" i="141"/>
  <c r="V67" i="141"/>
  <c r="V72" i="141" s="1"/>
  <c r="V74" i="141" s="1"/>
  <c r="U67" i="141"/>
  <c r="U72" i="141" s="1"/>
  <c r="U74" i="141" s="1"/>
  <c r="T67" i="141"/>
  <c r="S67" i="141"/>
  <c r="S72" i="141" s="1"/>
  <c r="S74" i="141" s="1"/>
  <c r="R67" i="141"/>
  <c r="R72" i="141" s="1"/>
  <c r="R74" i="141" s="1"/>
  <c r="Q67" i="141"/>
  <c r="Q72" i="141" s="1"/>
  <c r="Q74" i="141" s="1"/>
  <c r="P67" i="141"/>
  <c r="P72" i="141" s="1"/>
  <c r="P74" i="141" s="1"/>
  <c r="O67" i="141"/>
  <c r="O72" i="141" s="1"/>
  <c r="O74" i="141" s="1"/>
  <c r="N67" i="141"/>
  <c r="N72" i="141" s="1"/>
  <c r="N74" i="141" s="1"/>
  <c r="M67" i="141"/>
  <c r="L67" i="141"/>
  <c r="K67" i="141"/>
  <c r="K72" i="141" s="1"/>
  <c r="K74" i="141" s="1"/>
  <c r="J67" i="141"/>
  <c r="J72" i="141" s="1"/>
  <c r="J74" i="141" s="1"/>
  <c r="I67" i="141"/>
  <c r="I72" i="141" s="1"/>
  <c r="I74" i="141" s="1"/>
  <c r="H67" i="141"/>
  <c r="H72" i="141" s="1"/>
  <c r="H74" i="141" s="1"/>
  <c r="G67" i="141"/>
  <c r="G72" i="141" s="1"/>
  <c r="G74" i="141" s="1"/>
  <c r="F67" i="141"/>
  <c r="F72" i="141" s="1"/>
  <c r="F74" i="141" s="1"/>
  <c r="E67" i="141"/>
  <c r="D67" i="141"/>
  <c r="D72" i="141" s="1"/>
  <c r="D74" i="141" s="1"/>
  <c r="C67" i="141"/>
  <c r="C72" i="141" s="1"/>
  <c r="C74" i="141" s="1"/>
  <c r="B67" i="141"/>
  <c r="B72" i="141" s="1"/>
  <c r="B74" i="141" s="1"/>
  <c r="W66" i="141"/>
  <c r="Y66" i="141" s="1"/>
  <c r="W65" i="141"/>
  <c r="Y65" i="141" s="1"/>
  <c r="W64" i="141"/>
  <c r="Y64" i="141" s="1"/>
  <c r="W63" i="141"/>
  <c r="Y63" i="141" s="1"/>
  <c r="W62" i="141"/>
  <c r="Y62" i="141" s="1"/>
  <c r="W61" i="141"/>
  <c r="Y61" i="141" s="1"/>
  <c r="W60" i="141"/>
  <c r="Y60" i="141" s="1"/>
  <c r="T50" i="141"/>
  <c r="S50" i="141"/>
  <c r="R50" i="141"/>
  <c r="Q50" i="141"/>
  <c r="P50" i="141"/>
  <c r="O50" i="141"/>
  <c r="G50" i="141"/>
  <c r="F50" i="141"/>
  <c r="D50" i="141"/>
  <c r="C50" i="141"/>
  <c r="B50" i="141"/>
  <c r="T49" i="141"/>
  <c r="S49" i="141"/>
  <c r="R49" i="141"/>
  <c r="Q49" i="141"/>
  <c r="P49" i="141"/>
  <c r="O49" i="141"/>
  <c r="G49" i="141"/>
  <c r="F49" i="141"/>
  <c r="D49" i="141"/>
  <c r="C49" i="141"/>
  <c r="B49" i="141"/>
  <c r="U48" i="141"/>
  <c r="H48" i="141"/>
  <c r="T46" i="141"/>
  <c r="T51" i="141" s="1"/>
  <c r="T53" i="141" s="1"/>
  <c r="S46" i="141"/>
  <c r="S51" i="141" s="1"/>
  <c r="S53" i="141" s="1"/>
  <c r="R46" i="141"/>
  <c r="R51" i="141" s="1"/>
  <c r="R53" i="141" s="1"/>
  <c r="Q46" i="141"/>
  <c r="Q51" i="141" s="1"/>
  <c r="Q53" i="141" s="1"/>
  <c r="P46" i="141"/>
  <c r="P51" i="141" s="1"/>
  <c r="P53" i="141" s="1"/>
  <c r="O46" i="141"/>
  <c r="O51" i="141" s="1"/>
  <c r="O53" i="141" s="1"/>
  <c r="G51" i="141"/>
  <c r="G53" i="141" s="1"/>
  <c r="F51" i="141"/>
  <c r="F53" i="141" s="1"/>
  <c r="D51" i="141"/>
  <c r="D53" i="141" s="1"/>
  <c r="C51" i="141"/>
  <c r="C53" i="141" s="1"/>
  <c r="U45" i="141"/>
  <c r="W45" i="141" s="1"/>
  <c r="H45" i="141"/>
  <c r="U44" i="141"/>
  <c r="W44" i="141" s="1"/>
  <c r="H44" i="141"/>
  <c r="U43" i="141"/>
  <c r="W43" i="141" s="1"/>
  <c r="H43" i="141"/>
  <c r="U42" i="141"/>
  <c r="W42" i="141" s="1"/>
  <c r="H42" i="141"/>
  <c r="U41" i="141"/>
  <c r="W41" i="141" s="1"/>
  <c r="H41" i="141"/>
  <c r="U40" i="141"/>
  <c r="W40" i="141" s="1"/>
  <c r="H40" i="141"/>
  <c r="U39" i="141"/>
  <c r="W39" i="141" s="1"/>
  <c r="H39" i="141"/>
  <c r="V29" i="141"/>
  <c r="U29" i="141"/>
  <c r="T29" i="141"/>
  <c r="S29" i="141"/>
  <c r="R29" i="141"/>
  <c r="Q29" i="141"/>
  <c r="P29" i="141"/>
  <c r="O29" i="141"/>
  <c r="N29" i="141"/>
  <c r="M29" i="141"/>
  <c r="L29" i="141"/>
  <c r="K29" i="141"/>
  <c r="J29" i="141"/>
  <c r="I29" i="141"/>
  <c r="H29" i="141"/>
  <c r="G29" i="141"/>
  <c r="F29" i="141"/>
  <c r="E29" i="141"/>
  <c r="D29" i="141"/>
  <c r="C29" i="141"/>
  <c r="B29" i="141"/>
  <c r="V28" i="141"/>
  <c r="U28" i="141"/>
  <c r="T28" i="141"/>
  <c r="S28" i="141"/>
  <c r="R28" i="141"/>
  <c r="Q28" i="141"/>
  <c r="P28" i="141"/>
  <c r="O28" i="141"/>
  <c r="N28" i="141"/>
  <c r="M28" i="141"/>
  <c r="L28" i="141"/>
  <c r="K28" i="141"/>
  <c r="J28" i="141"/>
  <c r="I28" i="141"/>
  <c r="H28" i="141"/>
  <c r="G28" i="141"/>
  <c r="F28" i="141"/>
  <c r="E28" i="141"/>
  <c r="D28" i="141"/>
  <c r="C28" i="141"/>
  <c r="B28" i="141"/>
  <c r="W27" i="141"/>
  <c r="V25" i="141"/>
  <c r="V30" i="141" s="1"/>
  <c r="V32" i="141" s="1"/>
  <c r="U25" i="141"/>
  <c r="U30" i="141" s="1"/>
  <c r="U32" i="141" s="1"/>
  <c r="T25" i="141"/>
  <c r="S25" i="141"/>
  <c r="S30" i="141" s="1"/>
  <c r="S32" i="141" s="1"/>
  <c r="R25" i="141"/>
  <c r="R30" i="141" s="1"/>
  <c r="R32" i="141" s="1"/>
  <c r="Q25" i="141"/>
  <c r="Q30" i="141" s="1"/>
  <c r="Q32" i="141" s="1"/>
  <c r="P25" i="141"/>
  <c r="P30" i="141" s="1"/>
  <c r="P32" i="141" s="1"/>
  <c r="O25" i="141"/>
  <c r="O30" i="141" s="1"/>
  <c r="O32" i="141" s="1"/>
  <c r="N25" i="141"/>
  <c r="N30" i="141" s="1"/>
  <c r="N32" i="141" s="1"/>
  <c r="M25" i="141"/>
  <c r="M30" i="141" s="1"/>
  <c r="M32" i="141" s="1"/>
  <c r="L25" i="141"/>
  <c r="L30" i="141" s="1"/>
  <c r="L32" i="141" s="1"/>
  <c r="K25" i="141"/>
  <c r="J25" i="141"/>
  <c r="J30" i="141" s="1"/>
  <c r="J32" i="141" s="1"/>
  <c r="I25" i="141"/>
  <c r="I30" i="141" s="1"/>
  <c r="I32" i="141" s="1"/>
  <c r="H25" i="141"/>
  <c r="H30" i="141" s="1"/>
  <c r="H32" i="141" s="1"/>
  <c r="G25" i="141"/>
  <c r="G30" i="141" s="1"/>
  <c r="G32" i="141" s="1"/>
  <c r="F25" i="141"/>
  <c r="F30" i="141" s="1"/>
  <c r="F32" i="141" s="1"/>
  <c r="E25" i="141"/>
  <c r="E30" i="141" s="1"/>
  <c r="E32" i="141" s="1"/>
  <c r="D25" i="141"/>
  <c r="D30" i="141" s="1"/>
  <c r="D32" i="141" s="1"/>
  <c r="C25" i="141"/>
  <c r="C30" i="141" s="1"/>
  <c r="C32" i="141" s="1"/>
  <c r="B25" i="141"/>
  <c r="B30" i="141" s="1"/>
  <c r="B32" i="141" s="1"/>
  <c r="W24" i="141"/>
  <c r="W23" i="141"/>
  <c r="W22" i="141"/>
  <c r="W21" i="141"/>
  <c r="W20" i="141"/>
  <c r="W18" i="141"/>
  <c r="T31" i="141" l="1"/>
  <c r="M73" i="141"/>
  <c r="K31" i="141"/>
  <c r="L73" i="141"/>
  <c r="I31" i="141"/>
  <c r="E73" i="141"/>
  <c r="T73" i="141"/>
  <c r="B31" i="141"/>
  <c r="J31" i="141"/>
  <c r="Q31" i="141"/>
  <c r="B52" i="141"/>
  <c r="R31" i="141"/>
  <c r="W25" i="141"/>
  <c r="W26" i="141" s="1"/>
  <c r="V31" i="141"/>
  <c r="H31" i="141"/>
  <c r="P31" i="141"/>
  <c r="H46" i="141"/>
  <c r="H49" i="141" s="1"/>
  <c r="C52" i="141"/>
  <c r="D52" i="141"/>
  <c r="F52" i="141"/>
  <c r="B51" i="141"/>
  <c r="B53" i="141" s="1"/>
  <c r="G52" i="141"/>
  <c r="E31" i="141"/>
  <c r="M31" i="141"/>
  <c r="U31" i="141"/>
  <c r="F31" i="141"/>
  <c r="N31" i="141"/>
  <c r="G31" i="141"/>
  <c r="O31" i="141"/>
  <c r="J73" i="141"/>
  <c r="P73" i="141"/>
  <c r="Q73" i="141"/>
  <c r="R73" i="141"/>
  <c r="I73" i="141"/>
  <c r="H73" i="141"/>
  <c r="B73" i="141"/>
  <c r="W67" i="141"/>
  <c r="W68" i="141" s="1"/>
  <c r="C73" i="141"/>
  <c r="K73" i="141"/>
  <c r="S73" i="141"/>
  <c r="F73" i="141"/>
  <c r="N73" i="141"/>
  <c r="V73" i="141"/>
  <c r="G73" i="141"/>
  <c r="O73" i="141"/>
  <c r="T52" i="141"/>
  <c r="O52" i="141"/>
  <c r="P52" i="141"/>
  <c r="Q52" i="141"/>
  <c r="R52" i="141"/>
  <c r="S52" i="141"/>
  <c r="S31" i="141"/>
  <c r="D73" i="141"/>
  <c r="L31" i="141"/>
  <c r="U73" i="141"/>
  <c r="K30" i="141"/>
  <c r="K32" i="141" s="1"/>
  <c r="L72" i="141"/>
  <c r="L74" i="141" s="1"/>
  <c r="U46" i="141"/>
  <c r="E72" i="141"/>
  <c r="E74" i="141" s="1"/>
  <c r="M72" i="141"/>
  <c r="M74" i="141" s="1"/>
  <c r="D31" i="141"/>
  <c r="T72" i="141"/>
  <c r="T74" i="141" s="1"/>
  <c r="T30" i="141"/>
  <c r="T32" i="141" s="1"/>
  <c r="C31" i="141"/>
  <c r="B49" i="140"/>
  <c r="W28" i="141" l="1"/>
  <c r="H47" i="141"/>
  <c r="W70" i="141"/>
  <c r="U49" i="141"/>
  <c r="U47" i="141"/>
  <c r="V71" i="140"/>
  <c r="U71" i="140"/>
  <c r="T71" i="140"/>
  <c r="S71" i="140"/>
  <c r="R71" i="140"/>
  <c r="Q71" i="140"/>
  <c r="P71" i="140"/>
  <c r="O71" i="140"/>
  <c r="N71" i="140"/>
  <c r="M71" i="140"/>
  <c r="L71" i="140"/>
  <c r="K71" i="140"/>
  <c r="J71" i="140"/>
  <c r="I71" i="140"/>
  <c r="H71" i="140"/>
  <c r="G71" i="140"/>
  <c r="F71" i="140"/>
  <c r="E71" i="140"/>
  <c r="D71" i="140"/>
  <c r="C71" i="140"/>
  <c r="B71" i="140"/>
  <c r="V70" i="140"/>
  <c r="U70" i="140"/>
  <c r="T70" i="140"/>
  <c r="S70" i="140"/>
  <c r="R70" i="140"/>
  <c r="Q70" i="140"/>
  <c r="P70" i="140"/>
  <c r="O70" i="140"/>
  <c r="N70" i="140"/>
  <c r="M70" i="140"/>
  <c r="L70" i="140"/>
  <c r="K70" i="140"/>
  <c r="J70" i="140"/>
  <c r="I70" i="140"/>
  <c r="H70" i="140"/>
  <c r="G70" i="140"/>
  <c r="F70" i="140"/>
  <c r="E70" i="140"/>
  <c r="D70" i="140"/>
  <c r="C70" i="140"/>
  <c r="B70" i="140"/>
  <c r="W69" i="140"/>
  <c r="V67" i="140"/>
  <c r="V72" i="140" s="1"/>
  <c r="V74" i="140" s="1"/>
  <c r="U67" i="140"/>
  <c r="U72" i="140" s="1"/>
  <c r="U74" i="140" s="1"/>
  <c r="T67" i="140"/>
  <c r="S67" i="140"/>
  <c r="S72" i="140" s="1"/>
  <c r="S74" i="140" s="1"/>
  <c r="R67" i="140"/>
  <c r="R72" i="140" s="1"/>
  <c r="R74" i="140" s="1"/>
  <c r="Q67" i="140"/>
  <c r="Q72" i="140" s="1"/>
  <c r="Q74" i="140" s="1"/>
  <c r="P67" i="140"/>
  <c r="P72" i="140" s="1"/>
  <c r="P74" i="140" s="1"/>
  <c r="O67" i="140"/>
  <c r="O72" i="140" s="1"/>
  <c r="O74" i="140" s="1"/>
  <c r="N67" i="140"/>
  <c r="N72" i="140" s="1"/>
  <c r="N74" i="140" s="1"/>
  <c r="M67" i="140"/>
  <c r="M72" i="140" s="1"/>
  <c r="M74" i="140" s="1"/>
  <c r="L67" i="140"/>
  <c r="L72" i="140" s="1"/>
  <c r="L74" i="140" s="1"/>
  <c r="K67" i="140"/>
  <c r="K72" i="140" s="1"/>
  <c r="K74" i="140" s="1"/>
  <c r="J67" i="140"/>
  <c r="J72" i="140" s="1"/>
  <c r="J74" i="140" s="1"/>
  <c r="I67" i="140"/>
  <c r="I72" i="140" s="1"/>
  <c r="I74" i="140" s="1"/>
  <c r="H67" i="140"/>
  <c r="H72" i="140" s="1"/>
  <c r="H74" i="140" s="1"/>
  <c r="G67" i="140"/>
  <c r="G72" i="140" s="1"/>
  <c r="G74" i="140" s="1"/>
  <c r="F67" i="140"/>
  <c r="F72" i="140" s="1"/>
  <c r="F74" i="140" s="1"/>
  <c r="E67" i="140"/>
  <c r="E72" i="140" s="1"/>
  <c r="E74" i="140" s="1"/>
  <c r="D67" i="140"/>
  <c r="C67" i="140"/>
  <c r="C72" i="140" s="1"/>
  <c r="C74" i="140" s="1"/>
  <c r="B67" i="140"/>
  <c r="B72" i="140" s="1"/>
  <c r="B74" i="140" s="1"/>
  <c r="W66" i="140"/>
  <c r="W65" i="140"/>
  <c r="W64" i="140"/>
  <c r="W63" i="140"/>
  <c r="W62" i="140"/>
  <c r="W61" i="140"/>
  <c r="W60" i="140"/>
  <c r="T50" i="140"/>
  <c r="S50" i="140"/>
  <c r="R50" i="140"/>
  <c r="Q50" i="140"/>
  <c r="P50" i="140"/>
  <c r="O50" i="140"/>
  <c r="G50" i="140"/>
  <c r="F50" i="140"/>
  <c r="E50" i="140"/>
  <c r="D50" i="140"/>
  <c r="C50" i="140"/>
  <c r="B50" i="140"/>
  <c r="T49" i="140"/>
  <c r="S49" i="140"/>
  <c r="R49" i="140"/>
  <c r="Q49" i="140"/>
  <c r="P49" i="140"/>
  <c r="O49" i="140"/>
  <c r="G49" i="140"/>
  <c r="F49" i="140"/>
  <c r="E49" i="140"/>
  <c r="D49" i="140"/>
  <c r="C49" i="140"/>
  <c r="U48" i="140"/>
  <c r="H48" i="140"/>
  <c r="T46" i="140"/>
  <c r="T51" i="140" s="1"/>
  <c r="T53" i="140" s="1"/>
  <c r="S46" i="140"/>
  <c r="S51" i="140" s="1"/>
  <c r="S53" i="140" s="1"/>
  <c r="R46" i="140"/>
  <c r="R51" i="140" s="1"/>
  <c r="R53" i="140" s="1"/>
  <c r="Q46" i="140"/>
  <c r="Q51" i="140" s="1"/>
  <c r="Q53" i="140" s="1"/>
  <c r="P46" i="140"/>
  <c r="P51" i="140" s="1"/>
  <c r="P53" i="140" s="1"/>
  <c r="O46" i="140"/>
  <c r="O51" i="140" s="1"/>
  <c r="O53" i="140" s="1"/>
  <c r="G46" i="140"/>
  <c r="G51" i="140" s="1"/>
  <c r="G53" i="140" s="1"/>
  <c r="F46" i="140"/>
  <c r="F51" i="140" s="1"/>
  <c r="F53" i="140" s="1"/>
  <c r="E46" i="140"/>
  <c r="E51" i="140" s="1"/>
  <c r="E53" i="140" s="1"/>
  <c r="D46" i="140"/>
  <c r="C46" i="140"/>
  <c r="C51" i="140" s="1"/>
  <c r="C53" i="140" s="1"/>
  <c r="B46" i="140"/>
  <c r="B51" i="140" s="1"/>
  <c r="B53" i="140" s="1"/>
  <c r="U45" i="140"/>
  <c r="H45" i="140"/>
  <c r="U44" i="140"/>
  <c r="H44" i="140"/>
  <c r="U43" i="140"/>
  <c r="H43" i="140"/>
  <c r="U42" i="140"/>
  <c r="H42" i="140"/>
  <c r="U41" i="140"/>
  <c r="H41" i="140"/>
  <c r="U40" i="140"/>
  <c r="H40" i="140"/>
  <c r="U39" i="140"/>
  <c r="H39" i="140"/>
  <c r="V29" i="140"/>
  <c r="U29" i="140"/>
  <c r="T29" i="140"/>
  <c r="S29" i="140"/>
  <c r="R29" i="140"/>
  <c r="Q29" i="140"/>
  <c r="P29" i="140"/>
  <c r="O29" i="140"/>
  <c r="N29" i="140"/>
  <c r="M29" i="140"/>
  <c r="L29" i="140"/>
  <c r="K29" i="140"/>
  <c r="J29" i="140"/>
  <c r="I29" i="140"/>
  <c r="H29" i="140"/>
  <c r="G29" i="140"/>
  <c r="F29" i="140"/>
  <c r="E29" i="140"/>
  <c r="D29" i="140"/>
  <c r="C29" i="140"/>
  <c r="B29" i="140"/>
  <c r="V28" i="140"/>
  <c r="U28" i="140"/>
  <c r="T28" i="140"/>
  <c r="S28" i="140"/>
  <c r="R28" i="140"/>
  <c r="Q28" i="140"/>
  <c r="P28" i="140"/>
  <c r="O28" i="140"/>
  <c r="N28" i="140"/>
  <c r="M28" i="140"/>
  <c r="L28" i="140"/>
  <c r="K28" i="140"/>
  <c r="J28" i="140"/>
  <c r="I28" i="140"/>
  <c r="H28" i="140"/>
  <c r="G28" i="140"/>
  <c r="F28" i="140"/>
  <c r="E28" i="140"/>
  <c r="D28" i="140"/>
  <c r="C28" i="140"/>
  <c r="B28" i="140"/>
  <c r="W27" i="140"/>
  <c r="V25" i="140"/>
  <c r="V30" i="140" s="1"/>
  <c r="V32" i="140" s="1"/>
  <c r="U25" i="140"/>
  <c r="U30" i="140" s="1"/>
  <c r="U32" i="140" s="1"/>
  <c r="T25" i="140"/>
  <c r="T30" i="140" s="1"/>
  <c r="T32" i="140" s="1"/>
  <c r="S25" i="140"/>
  <c r="S30" i="140" s="1"/>
  <c r="S32" i="140" s="1"/>
  <c r="R25" i="140"/>
  <c r="R30" i="140" s="1"/>
  <c r="R32" i="140" s="1"/>
  <c r="Q25" i="140"/>
  <c r="Q30" i="140" s="1"/>
  <c r="Q32" i="140" s="1"/>
  <c r="P25" i="140"/>
  <c r="P30" i="140" s="1"/>
  <c r="P32" i="140" s="1"/>
  <c r="O25" i="140"/>
  <c r="O30" i="140" s="1"/>
  <c r="O32" i="140" s="1"/>
  <c r="N25" i="140"/>
  <c r="N30" i="140" s="1"/>
  <c r="N32" i="140" s="1"/>
  <c r="M25" i="140"/>
  <c r="M30" i="140" s="1"/>
  <c r="M32" i="140" s="1"/>
  <c r="L25" i="140"/>
  <c r="L30" i="140" s="1"/>
  <c r="L32" i="140" s="1"/>
  <c r="K25" i="140"/>
  <c r="K30" i="140" s="1"/>
  <c r="K32" i="140" s="1"/>
  <c r="J25" i="140"/>
  <c r="J30" i="140" s="1"/>
  <c r="J32" i="140" s="1"/>
  <c r="I25" i="140"/>
  <c r="I30" i="140" s="1"/>
  <c r="I32" i="140" s="1"/>
  <c r="H25" i="140"/>
  <c r="H30" i="140" s="1"/>
  <c r="H32" i="140" s="1"/>
  <c r="G25" i="140"/>
  <c r="G30" i="140" s="1"/>
  <c r="G32" i="140" s="1"/>
  <c r="F25" i="140"/>
  <c r="F30" i="140" s="1"/>
  <c r="F32" i="140" s="1"/>
  <c r="E25" i="140"/>
  <c r="E30" i="140" s="1"/>
  <c r="E32" i="140" s="1"/>
  <c r="D25" i="140"/>
  <c r="D30" i="140" s="1"/>
  <c r="D32" i="140" s="1"/>
  <c r="C25" i="140"/>
  <c r="C30" i="140" s="1"/>
  <c r="C32" i="140" s="1"/>
  <c r="B25" i="140"/>
  <c r="B30" i="140" s="1"/>
  <c r="B32" i="140" s="1"/>
  <c r="W24" i="140"/>
  <c r="W23" i="140"/>
  <c r="W22" i="140"/>
  <c r="W21" i="140"/>
  <c r="W20" i="140"/>
  <c r="W19" i="140"/>
  <c r="W18" i="140"/>
  <c r="V71" i="139"/>
  <c r="U71" i="139"/>
  <c r="T71" i="139"/>
  <c r="S71" i="139"/>
  <c r="R71" i="139"/>
  <c r="Q71" i="139"/>
  <c r="P71" i="139"/>
  <c r="O71" i="139"/>
  <c r="N71" i="139"/>
  <c r="M71" i="139"/>
  <c r="L71" i="139"/>
  <c r="K71" i="139"/>
  <c r="J71" i="139"/>
  <c r="I71" i="139"/>
  <c r="H71" i="139"/>
  <c r="G71" i="139"/>
  <c r="F71" i="139"/>
  <c r="E71" i="139"/>
  <c r="D71" i="139"/>
  <c r="C71" i="139"/>
  <c r="B71" i="139"/>
  <c r="V70" i="139"/>
  <c r="U70" i="139"/>
  <c r="T70" i="139"/>
  <c r="S70" i="139"/>
  <c r="R70" i="139"/>
  <c r="Q70" i="139"/>
  <c r="P70" i="139"/>
  <c r="O70" i="139"/>
  <c r="N70" i="139"/>
  <c r="M70" i="139"/>
  <c r="L70" i="139"/>
  <c r="K70" i="139"/>
  <c r="J70" i="139"/>
  <c r="I70" i="139"/>
  <c r="H70" i="139"/>
  <c r="G70" i="139"/>
  <c r="F70" i="139"/>
  <c r="E70" i="139"/>
  <c r="D70" i="139"/>
  <c r="C70" i="139"/>
  <c r="B70" i="139"/>
  <c r="W69" i="139"/>
  <c r="V67" i="139"/>
  <c r="V72" i="139" s="1"/>
  <c r="V74" i="139" s="1"/>
  <c r="U67" i="139"/>
  <c r="U72" i="139" s="1"/>
  <c r="U74" i="139" s="1"/>
  <c r="T67" i="139"/>
  <c r="T72" i="139" s="1"/>
  <c r="T74" i="139" s="1"/>
  <c r="S67" i="139"/>
  <c r="R67" i="139"/>
  <c r="Q67" i="139"/>
  <c r="Q72" i="139" s="1"/>
  <c r="Q74" i="139" s="1"/>
  <c r="P67" i="139"/>
  <c r="P72" i="139" s="1"/>
  <c r="P74" i="139" s="1"/>
  <c r="O67" i="139"/>
  <c r="N67" i="139"/>
  <c r="N72" i="139" s="1"/>
  <c r="N74" i="139" s="1"/>
  <c r="M67" i="139"/>
  <c r="M72" i="139" s="1"/>
  <c r="M74" i="139" s="1"/>
  <c r="L67" i="139"/>
  <c r="L72" i="139" s="1"/>
  <c r="L74" i="139" s="1"/>
  <c r="K67" i="139"/>
  <c r="J67" i="139"/>
  <c r="I67" i="139"/>
  <c r="I72" i="139" s="1"/>
  <c r="I74" i="139" s="1"/>
  <c r="H67" i="139"/>
  <c r="H72" i="139" s="1"/>
  <c r="H74" i="139" s="1"/>
  <c r="G67" i="139"/>
  <c r="F67" i="139"/>
  <c r="F72" i="139" s="1"/>
  <c r="F74" i="139" s="1"/>
  <c r="E67" i="139"/>
  <c r="E72" i="139" s="1"/>
  <c r="E74" i="139" s="1"/>
  <c r="D67" i="139"/>
  <c r="D72" i="139" s="1"/>
  <c r="D74" i="139" s="1"/>
  <c r="C67" i="139"/>
  <c r="B67" i="139"/>
  <c r="W66" i="139"/>
  <c r="W65" i="139"/>
  <c r="W64" i="139"/>
  <c r="W63" i="139"/>
  <c r="W62" i="139"/>
  <c r="W61" i="139"/>
  <c r="W60" i="139"/>
  <c r="T50" i="139"/>
  <c r="S50" i="139"/>
  <c r="R50" i="139"/>
  <c r="Q50" i="139"/>
  <c r="P50" i="139"/>
  <c r="O50" i="139"/>
  <c r="G50" i="139"/>
  <c r="F50" i="139"/>
  <c r="E50" i="139"/>
  <c r="D50" i="139"/>
  <c r="C50" i="139"/>
  <c r="B50" i="139"/>
  <c r="T49" i="139"/>
  <c r="S49" i="139"/>
  <c r="R49" i="139"/>
  <c r="Q49" i="139"/>
  <c r="P49" i="139"/>
  <c r="O49" i="139"/>
  <c r="G49" i="139"/>
  <c r="F49" i="139"/>
  <c r="E49" i="139"/>
  <c r="D49" i="139"/>
  <c r="C49" i="139"/>
  <c r="B49" i="139"/>
  <c r="U48" i="139"/>
  <c r="H48" i="139"/>
  <c r="T46" i="139"/>
  <c r="T51" i="139" s="1"/>
  <c r="T53" i="139" s="1"/>
  <c r="S46" i="139"/>
  <c r="S51" i="139" s="1"/>
  <c r="S53" i="139" s="1"/>
  <c r="R46" i="139"/>
  <c r="R51" i="139" s="1"/>
  <c r="R53" i="139" s="1"/>
  <c r="Q46" i="139"/>
  <c r="Q51" i="139" s="1"/>
  <c r="Q53" i="139" s="1"/>
  <c r="P46" i="139"/>
  <c r="P51" i="139" s="1"/>
  <c r="P53" i="139" s="1"/>
  <c r="O46" i="139"/>
  <c r="G46" i="139"/>
  <c r="G51" i="139" s="1"/>
  <c r="G53" i="139" s="1"/>
  <c r="F46" i="139"/>
  <c r="F51" i="139" s="1"/>
  <c r="F53" i="139" s="1"/>
  <c r="E46" i="139"/>
  <c r="E51" i="139" s="1"/>
  <c r="E53" i="139" s="1"/>
  <c r="D46" i="139"/>
  <c r="D51" i="139" s="1"/>
  <c r="D53" i="139" s="1"/>
  <c r="C46" i="139"/>
  <c r="C51" i="139" s="1"/>
  <c r="C53" i="139" s="1"/>
  <c r="B46" i="139"/>
  <c r="U45" i="139"/>
  <c r="H45" i="139"/>
  <c r="U44" i="139"/>
  <c r="H44" i="139"/>
  <c r="U43" i="139"/>
  <c r="H43" i="139"/>
  <c r="U42" i="139"/>
  <c r="H42" i="139"/>
  <c r="U41" i="139"/>
  <c r="H41" i="139"/>
  <c r="U40" i="139"/>
  <c r="H40" i="139"/>
  <c r="U39" i="139"/>
  <c r="H39" i="139"/>
  <c r="V29" i="139"/>
  <c r="U29" i="139"/>
  <c r="T29" i="139"/>
  <c r="S29" i="139"/>
  <c r="R29" i="139"/>
  <c r="Q29" i="139"/>
  <c r="P29" i="139"/>
  <c r="O29" i="139"/>
  <c r="N29" i="139"/>
  <c r="M29" i="139"/>
  <c r="L29" i="139"/>
  <c r="K29" i="139"/>
  <c r="J29" i="139"/>
  <c r="I29" i="139"/>
  <c r="H29" i="139"/>
  <c r="G29" i="139"/>
  <c r="F29" i="139"/>
  <c r="E29" i="139"/>
  <c r="D29" i="139"/>
  <c r="C29" i="139"/>
  <c r="B29" i="139"/>
  <c r="V28" i="139"/>
  <c r="U28" i="139"/>
  <c r="T28" i="139"/>
  <c r="S28" i="139"/>
  <c r="R28" i="139"/>
  <c r="Q28" i="139"/>
  <c r="P28" i="139"/>
  <c r="O28" i="139"/>
  <c r="N28" i="139"/>
  <c r="M28" i="139"/>
  <c r="L28" i="139"/>
  <c r="K28" i="139"/>
  <c r="J28" i="139"/>
  <c r="I28" i="139"/>
  <c r="H28" i="139"/>
  <c r="G28" i="139"/>
  <c r="F28" i="139"/>
  <c r="E28" i="139"/>
  <c r="D28" i="139"/>
  <c r="C28" i="139"/>
  <c r="B28" i="139"/>
  <c r="W27" i="139"/>
  <c r="V25" i="139"/>
  <c r="U25" i="139"/>
  <c r="U30" i="139" s="1"/>
  <c r="U32" i="139" s="1"/>
  <c r="T25" i="139"/>
  <c r="T30" i="139" s="1"/>
  <c r="T32" i="139" s="1"/>
  <c r="S25" i="139"/>
  <c r="S30" i="139" s="1"/>
  <c r="S32" i="139" s="1"/>
  <c r="R25" i="139"/>
  <c r="R30" i="139" s="1"/>
  <c r="R32" i="139" s="1"/>
  <c r="Q25" i="139"/>
  <c r="P25" i="139"/>
  <c r="P30" i="139" s="1"/>
  <c r="P32" i="139" s="1"/>
  <c r="O25" i="139"/>
  <c r="O30" i="139" s="1"/>
  <c r="O32" i="139" s="1"/>
  <c r="N25" i="139"/>
  <c r="M25" i="139"/>
  <c r="M30" i="139" s="1"/>
  <c r="M32" i="139" s="1"/>
  <c r="L25" i="139"/>
  <c r="L30" i="139" s="1"/>
  <c r="L32" i="139" s="1"/>
  <c r="K25" i="139"/>
  <c r="K30" i="139" s="1"/>
  <c r="K32" i="139" s="1"/>
  <c r="J25" i="139"/>
  <c r="I25" i="139"/>
  <c r="H25" i="139"/>
  <c r="H30" i="139" s="1"/>
  <c r="H32" i="139" s="1"/>
  <c r="G25" i="139"/>
  <c r="G30" i="139" s="1"/>
  <c r="G32" i="139" s="1"/>
  <c r="F25" i="139"/>
  <c r="E25" i="139"/>
  <c r="E30" i="139" s="1"/>
  <c r="E32" i="139" s="1"/>
  <c r="D25" i="139"/>
  <c r="D30" i="139" s="1"/>
  <c r="D32" i="139" s="1"/>
  <c r="C25" i="139"/>
  <c r="C30" i="139" s="1"/>
  <c r="C32" i="139" s="1"/>
  <c r="B25" i="139"/>
  <c r="B30" i="139" s="1"/>
  <c r="B32" i="139" s="1"/>
  <c r="W24" i="139"/>
  <c r="W23" i="139"/>
  <c r="W22" i="139"/>
  <c r="W21" i="139"/>
  <c r="W20" i="139"/>
  <c r="W19" i="139"/>
  <c r="W18" i="139"/>
  <c r="C73" i="139" l="1"/>
  <c r="T31" i="140"/>
  <c r="I31" i="140"/>
  <c r="I73" i="139"/>
  <c r="U73" i="139"/>
  <c r="B73" i="139"/>
  <c r="R73" i="139"/>
  <c r="M73" i="139"/>
  <c r="S73" i="139"/>
  <c r="N31" i="139"/>
  <c r="Q31" i="140"/>
  <c r="J31" i="139"/>
  <c r="G73" i="139"/>
  <c r="G73" i="140"/>
  <c r="O73" i="140"/>
  <c r="H73" i="140"/>
  <c r="I73" i="140"/>
  <c r="J73" i="140"/>
  <c r="L73" i="140"/>
  <c r="E73" i="140"/>
  <c r="T52" i="140"/>
  <c r="Q52" i="140"/>
  <c r="E52" i="140"/>
  <c r="D52" i="140"/>
  <c r="C52" i="140"/>
  <c r="B52" i="140"/>
  <c r="F52" i="140"/>
  <c r="G52" i="140"/>
  <c r="H46" i="140"/>
  <c r="H49" i="140" s="1"/>
  <c r="D51" i="140"/>
  <c r="D53" i="140" s="1"/>
  <c r="P31" i="140"/>
  <c r="W25" i="140"/>
  <c r="W26" i="140" s="1"/>
  <c r="O31" i="140"/>
  <c r="H31" i="140"/>
  <c r="S31" i="140"/>
  <c r="B31" i="140"/>
  <c r="J31" i="140"/>
  <c r="R31" i="140"/>
  <c r="C31" i="140"/>
  <c r="U31" i="140"/>
  <c r="D31" i="140"/>
  <c r="L31" i="140"/>
  <c r="E31" i="140"/>
  <c r="K31" i="140"/>
  <c r="V31" i="140"/>
  <c r="M31" i="140"/>
  <c r="F31" i="140"/>
  <c r="N31" i="140"/>
  <c r="G31" i="140"/>
  <c r="S52" i="140"/>
  <c r="R52" i="140"/>
  <c r="O52" i="140"/>
  <c r="R73" i="140"/>
  <c r="N73" i="140"/>
  <c r="M73" i="140"/>
  <c r="K73" i="140"/>
  <c r="F73" i="140"/>
  <c r="B73" i="140"/>
  <c r="C73" i="140"/>
  <c r="D73" i="140"/>
  <c r="U73" i="140"/>
  <c r="W67" i="140"/>
  <c r="W70" i="140" s="1"/>
  <c r="V73" i="140"/>
  <c r="Q73" i="140"/>
  <c r="P73" i="140"/>
  <c r="T73" i="140"/>
  <c r="S73" i="140"/>
  <c r="D72" i="140"/>
  <c r="D74" i="140" s="1"/>
  <c r="T72" i="140"/>
  <c r="T74" i="140" s="1"/>
  <c r="U46" i="140"/>
  <c r="P52" i="140"/>
  <c r="J73" i="139"/>
  <c r="K73" i="139"/>
  <c r="Q73" i="139"/>
  <c r="I31" i="139"/>
  <c r="O73" i="139"/>
  <c r="E73" i="139"/>
  <c r="G72" i="139"/>
  <c r="G74" i="139" s="1"/>
  <c r="W25" i="139"/>
  <c r="W26" i="139" s="1"/>
  <c r="W67" i="139"/>
  <c r="W68" i="139" s="1"/>
  <c r="H73" i="139"/>
  <c r="P73" i="139"/>
  <c r="O72" i="139"/>
  <c r="O74" i="139" s="1"/>
  <c r="D73" i="139"/>
  <c r="L73" i="139"/>
  <c r="T73" i="139"/>
  <c r="Q52" i="139"/>
  <c r="O52" i="139"/>
  <c r="R52" i="139"/>
  <c r="S52" i="139"/>
  <c r="T52" i="139"/>
  <c r="P52" i="139"/>
  <c r="U46" i="139"/>
  <c r="U47" i="139" s="1"/>
  <c r="C52" i="139"/>
  <c r="E52" i="139"/>
  <c r="F52" i="139"/>
  <c r="D52" i="139"/>
  <c r="G52" i="139"/>
  <c r="H46" i="139"/>
  <c r="H47" i="139" s="1"/>
  <c r="V31" i="139"/>
  <c r="Q31" i="139"/>
  <c r="F31" i="139"/>
  <c r="H31" i="139"/>
  <c r="P31" i="139"/>
  <c r="N30" i="139"/>
  <c r="N32" i="139" s="1"/>
  <c r="C31" i="139"/>
  <c r="K31" i="139"/>
  <c r="S31" i="139"/>
  <c r="D31" i="139"/>
  <c r="L31" i="139"/>
  <c r="T31" i="139"/>
  <c r="V30" i="139"/>
  <c r="V32" i="139" s="1"/>
  <c r="G31" i="139"/>
  <c r="O31" i="139"/>
  <c r="F30" i="139"/>
  <c r="F32" i="139" s="1"/>
  <c r="R31" i="139"/>
  <c r="I30" i="139"/>
  <c r="I32" i="139" s="1"/>
  <c r="Q30" i="139"/>
  <c r="Q32" i="139" s="1"/>
  <c r="O51" i="139"/>
  <c r="O53" i="139" s="1"/>
  <c r="B72" i="139"/>
  <c r="B74" i="139" s="1"/>
  <c r="J72" i="139"/>
  <c r="J74" i="139" s="1"/>
  <c r="R72" i="139"/>
  <c r="R74" i="139" s="1"/>
  <c r="B52" i="139"/>
  <c r="V73" i="139"/>
  <c r="B31" i="139"/>
  <c r="J30" i="139"/>
  <c r="J32" i="139" s="1"/>
  <c r="M31" i="139"/>
  <c r="B51" i="139"/>
  <c r="B53" i="139" s="1"/>
  <c r="E31" i="139"/>
  <c r="U31" i="139"/>
  <c r="C72" i="139"/>
  <c r="C74" i="139" s="1"/>
  <c r="K72" i="139"/>
  <c r="K74" i="139" s="1"/>
  <c r="S72" i="139"/>
  <c r="S74" i="139" s="1"/>
  <c r="F73" i="139"/>
  <c r="N73" i="139"/>
  <c r="C28" i="138"/>
  <c r="C29" i="138"/>
  <c r="H47" i="140" l="1"/>
  <c r="W28" i="140"/>
  <c r="W68" i="140"/>
  <c r="U49" i="140"/>
  <c r="U47" i="140"/>
  <c r="W28" i="139"/>
  <c r="W70" i="139"/>
  <c r="U49" i="139"/>
  <c r="H49" i="139"/>
  <c r="V71" i="138"/>
  <c r="U71" i="138"/>
  <c r="T71" i="138"/>
  <c r="S71" i="138"/>
  <c r="R71" i="138"/>
  <c r="Q71" i="138"/>
  <c r="P71" i="138"/>
  <c r="O71" i="138"/>
  <c r="N71" i="138"/>
  <c r="M71" i="138"/>
  <c r="L71" i="138"/>
  <c r="K71" i="138"/>
  <c r="J71" i="138"/>
  <c r="I71" i="138"/>
  <c r="H71" i="138"/>
  <c r="G71" i="138"/>
  <c r="F71" i="138"/>
  <c r="E71" i="138"/>
  <c r="D71" i="138"/>
  <c r="C71" i="138"/>
  <c r="B71" i="138"/>
  <c r="V70" i="138"/>
  <c r="U70" i="138"/>
  <c r="T70" i="138"/>
  <c r="S70" i="138"/>
  <c r="R70" i="138"/>
  <c r="Q70" i="138"/>
  <c r="P70" i="138"/>
  <c r="O70" i="138"/>
  <c r="N70" i="138"/>
  <c r="M70" i="138"/>
  <c r="L70" i="138"/>
  <c r="K70" i="138"/>
  <c r="J70" i="138"/>
  <c r="I70" i="138"/>
  <c r="H70" i="138"/>
  <c r="G70" i="138"/>
  <c r="F70" i="138"/>
  <c r="E70" i="138"/>
  <c r="D70" i="138"/>
  <c r="C70" i="138"/>
  <c r="B70" i="138"/>
  <c r="W69" i="138"/>
  <c r="V67" i="138"/>
  <c r="V72" i="138" s="1"/>
  <c r="V74" i="138" s="1"/>
  <c r="U67" i="138"/>
  <c r="U72" i="138" s="1"/>
  <c r="U74" i="138" s="1"/>
  <c r="T67" i="138"/>
  <c r="T72" i="138" s="1"/>
  <c r="T74" i="138" s="1"/>
  <c r="S67" i="138"/>
  <c r="R67" i="138"/>
  <c r="R72" i="138" s="1"/>
  <c r="R74" i="138" s="1"/>
  <c r="Q67" i="138"/>
  <c r="Q72" i="138" s="1"/>
  <c r="Q74" i="138" s="1"/>
  <c r="P67" i="138"/>
  <c r="P72" i="138" s="1"/>
  <c r="P74" i="138" s="1"/>
  <c r="O67" i="138"/>
  <c r="O72" i="138" s="1"/>
  <c r="O74" i="138" s="1"/>
  <c r="N67" i="138"/>
  <c r="N72" i="138" s="1"/>
  <c r="N74" i="138" s="1"/>
  <c r="M67" i="138"/>
  <c r="M72" i="138" s="1"/>
  <c r="M74" i="138" s="1"/>
  <c r="L67" i="138"/>
  <c r="L72" i="138" s="1"/>
  <c r="L74" i="138" s="1"/>
  <c r="K67" i="138"/>
  <c r="J67" i="138"/>
  <c r="J72" i="138" s="1"/>
  <c r="J74" i="138" s="1"/>
  <c r="I67" i="138"/>
  <c r="I72" i="138" s="1"/>
  <c r="I74" i="138" s="1"/>
  <c r="H67" i="138"/>
  <c r="H72" i="138" s="1"/>
  <c r="H74" i="138" s="1"/>
  <c r="G67" i="138"/>
  <c r="G72" i="138" s="1"/>
  <c r="G74" i="138" s="1"/>
  <c r="F67" i="138"/>
  <c r="F72" i="138" s="1"/>
  <c r="F74" i="138" s="1"/>
  <c r="E67" i="138"/>
  <c r="E72" i="138" s="1"/>
  <c r="E74" i="138" s="1"/>
  <c r="D67" i="138"/>
  <c r="D72" i="138" s="1"/>
  <c r="D74" i="138" s="1"/>
  <c r="C67" i="138"/>
  <c r="B67" i="138"/>
  <c r="B72" i="138" s="1"/>
  <c r="B74" i="138" s="1"/>
  <c r="W66" i="138"/>
  <c r="W65" i="138"/>
  <c r="W64" i="138"/>
  <c r="W63" i="138"/>
  <c r="W62" i="138"/>
  <c r="W61" i="138"/>
  <c r="W60" i="138"/>
  <c r="T50" i="138"/>
  <c r="S50" i="138"/>
  <c r="R50" i="138"/>
  <c r="Q50" i="138"/>
  <c r="P50" i="138"/>
  <c r="O50" i="138"/>
  <c r="G50" i="138"/>
  <c r="F50" i="138"/>
  <c r="E50" i="138"/>
  <c r="D50" i="138"/>
  <c r="C50" i="138"/>
  <c r="B50" i="138"/>
  <c r="T49" i="138"/>
  <c r="S49" i="138"/>
  <c r="R49" i="138"/>
  <c r="Q49" i="138"/>
  <c r="P49" i="138"/>
  <c r="O49" i="138"/>
  <c r="G49" i="138"/>
  <c r="F49" i="138"/>
  <c r="E49" i="138"/>
  <c r="D49" i="138"/>
  <c r="C49" i="138"/>
  <c r="B49" i="138"/>
  <c r="U48" i="138"/>
  <c r="H48" i="138"/>
  <c r="T46" i="138"/>
  <c r="T51" i="138" s="1"/>
  <c r="T53" i="138" s="1"/>
  <c r="S46" i="138"/>
  <c r="S51" i="138" s="1"/>
  <c r="S53" i="138" s="1"/>
  <c r="R46" i="138"/>
  <c r="R51" i="138" s="1"/>
  <c r="R53" i="138" s="1"/>
  <c r="Q46" i="138"/>
  <c r="Q51" i="138" s="1"/>
  <c r="Q53" i="138" s="1"/>
  <c r="P46" i="138"/>
  <c r="O46" i="138"/>
  <c r="O51" i="138" s="1"/>
  <c r="O53" i="138" s="1"/>
  <c r="G46" i="138"/>
  <c r="G51" i="138" s="1"/>
  <c r="G53" i="138" s="1"/>
  <c r="F46" i="138"/>
  <c r="F51" i="138" s="1"/>
  <c r="F53" i="138" s="1"/>
  <c r="E46" i="138"/>
  <c r="E51" i="138" s="1"/>
  <c r="E53" i="138" s="1"/>
  <c r="D46" i="138"/>
  <c r="D51" i="138" s="1"/>
  <c r="D53" i="138" s="1"/>
  <c r="C46" i="138"/>
  <c r="C51" i="138" s="1"/>
  <c r="C53" i="138" s="1"/>
  <c r="B46" i="138"/>
  <c r="B51" i="138" s="1"/>
  <c r="B53" i="138" s="1"/>
  <c r="U45" i="138"/>
  <c r="H45" i="138"/>
  <c r="U44" i="138"/>
  <c r="H44" i="138"/>
  <c r="U43" i="138"/>
  <c r="H43" i="138"/>
  <c r="U42" i="138"/>
  <c r="H42" i="138"/>
  <c r="U41" i="138"/>
  <c r="H41" i="138"/>
  <c r="U40" i="138"/>
  <c r="H40" i="138"/>
  <c r="U39" i="138"/>
  <c r="H39" i="138"/>
  <c r="V29" i="138"/>
  <c r="U29" i="138"/>
  <c r="T29" i="138"/>
  <c r="S29" i="138"/>
  <c r="R29" i="138"/>
  <c r="Q29" i="138"/>
  <c r="P29" i="138"/>
  <c r="O29" i="138"/>
  <c r="N29" i="138"/>
  <c r="M29" i="138"/>
  <c r="L29" i="138"/>
  <c r="K29" i="138"/>
  <c r="J29" i="138"/>
  <c r="I29" i="138"/>
  <c r="H29" i="138"/>
  <c r="G29" i="138"/>
  <c r="F29" i="138"/>
  <c r="E29" i="138"/>
  <c r="D29" i="138"/>
  <c r="B29" i="138"/>
  <c r="V28" i="138"/>
  <c r="U28" i="138"/>
  <c r="T28" i="138"/>
  <c r="S28" i="138"/>
  <c r="R28" i="138"/>
  <c r="Q28" i="138"/>
  <c r="P28" i="138"/>
  <c r="O28" i="138"/>
  <c r="N28" i="138"/>
  <c r="M28" i="138"/>
  <c r="L28" i="138"/>
  <c r="K28" i="138"/>
  <c r="J28" i="138"/>
  <c r="I28" i="138"/>
  <c r="H28" i="138"/>
  <c r="G28" i="138"/>
  <c r="F28" i="138"/>
  <c r="E28" i="138"/>
  <c r="D28" i="138"/>
  <c r="B28" i="138"/>
  <c r="W27" i="138"/>
  <c r="V25" i="138"/>
  <c r="V30" i="138" s="1"/>
  <c r="V32" i="138" s="1"/>
  <c r="U25" i="138"/>
  <c r="U30" i="138" s="1"/>
  <c r="U32" i="138" s="1"/>
  <c r="T25" i="138"/>
  <c r="T30" i="138" s="1"/>
  <c r="T32" i="138" s="1"/>
  <c r="S25" i="138"/>
  <c r="S30" i="138" s="1"/>
  <c r="S32" i="138" s="1"/>
  <c r="R25" i="138"/>
  <c r="R30" i="138" s="1"/>
  <c r="R32" i="138" s="1"/>
  <c r="Q25" i="138"/>
  <c r="Q30" i="138" s="1"/>
  <c r="Q32" i="138" s="1"/>
  <c r="P25" i="138"/>
  <c r="O25" i="138"/>
  <c r="O30" i="138" s="1"/>
  <c r="O32" i="138" s="1"/>
  <c r="N25" i="138"/>
  <c r="N30" i="138" s="1"/>
  <c r="N32" i="138" s="1"/>
  <c r="M25" i="138"/>
  <c r="M30" i="138" s="1"/>
  <c r="M32" i="138" s="1"/>
  <c r="L25" i="138"/>
  <c r="L30" i="138" s="1"/>
  <c r="L32" i="138" s="1"/>
  <c r="K25" i="138"/>
  <c r="K30" i="138" s="1"/>
  <c r="K32" i="138" s="1"/>
  <c r="J25" i="138"/>
  <c r="J30" i="138" s="1"/>
  <c r="J32" i="138" s="1"/>
  <c r="I25" i="138"/>
  <c r="I30" i="138" s="1"/>
  <c r="I32" i="138" s="1"/>
  <c r="H25" i="138"/>
  <c r="G25" i="138"/>
  <c r="G30" i="138" s="1"/>
  <c r="G32" i="138" s="1"/>
  <c r="F25" i="138"/>
  <c r="F30" i="138" s="1"/>
  <c r="F32" i="138" s="1"/>
  <c r="E25" i="138"/>
  <c r="E30" i="138" s="1"/>
  <c r="E32" i="138" s="1"/>
  <c r="D25" i="138"/>
  <c r="D30" i="138" s="1"/>
  <c r="D32" i="138" s="1"/>
  <c r="C25" i="138"/>
  <c r="B25" i="138"/>
  <c r="B30" i="138" s="1"/>
  <c r="B32" i="138" s="1"/>
  <c r="W24" i="138"/>
  <c r="W23" i="138"/>
  <c r="W22" i="138"/>
  <c r="W21" i="138"/>
  <c r="W20" i="138"/>
  <c r="W19" i="138"/>
  <c r="W18" i="138"/>
  <c r="K73" i="138" l="1"/>
  <c r="S73" i="138"/>
  <c r="C30" i="138"/>
  <c r="C32" i="138" s="1"/>
  <c r="C31" i="138"/>
  <c r="P31" i="138"/>
  <c r="C73" i="138"/>
  <c r="O31" i="138"/>
  <c r="G73" i="138"/>
  <c r="O73" i="138"/>
  <c r="H31" i="138"/>
  <c r="G31" i="138"/>
  <c r="F73" i="138"/>
  <c r="N73" i="138"/>
  <c r="V73" i="138"/>
  <c r="W67" i="138"/>
  <c r="W70" i="138" s="1"/>
  <c r="H73" i="138"/>
  <c r="P73" i="138"/>
  <c r="I73" i="138"/>
  <c r="Q73" i="138"/>
  <c r="B73" i="138"/>
  <c r="J73" i="138"/>
  <c r="R73" i="138"/>
  <c r="O52" i="138"/>
  <c r="U46" i="138"/>
  <c r="U49" i="138" s="1"/>
  <c r="P52" i="138"/>
  <c r="Q52" i="138"/>
  <c r="R52" i="138"/>
  <c r="S52" i="138"/>
  <c r="T52" i="138"/>
  <c r="G52" i="138"/>
  <c r="C52" i="138"/>
  <c r="D52" i="138"/>
  <c r="E52" i="138"/>
  <c r="F52" i="138"/>
  <c r="I31" i="138"/>
  <c r="Q31" i="138"/>
  <c r="J31" i="138"/>
  <c r="K31" i="138"/>
  <c r="S31" i="138"/>
  <c r="E31" i="138"/>
  <c r="M31" i="138"/>
  <c r="U31" i="138"/>
  <c r="F31" i="138"/>
  <c r="N31" i="138"/>
  <c r="V31" i="138"/>
  <c r="W25" i="138"/>
  <c r="W28" i="138" s="1"/>
  <c r="B31" i="138"/>
  <c r="R31" i="138"/>
  <c r="B52" i="138"/>
  <c r="H30" i="138"/>
  <c r="H32" i="138" s="1"/>
  <c r="P30" i="138"/>
  <c r="P32" i="138" s="1"/>
  <c r="D73" i="138"/>
  <c r="L73" i="138"/>
  <c r="T73" i="138"/>
  <c r="L31" i="138"/>
  <c r="P51" i="138"/>
  <c r="P53" i="138" s="1"/>
  <c r="C72" i="138"/>
  <c r="C74" i="138" s="1"/>
  <c r="K72" i="138"/>
  <c r="K74" i="138" s="1"/>
  <c r="S72" i="138"/>
  <c r="S74" i="138" s="1"/>
  <c r="D31" i="138"/>
  <c r="E73" i="138"/>
  <c r="M73" i="138"/>
  <c r="U73" i="138"/>
  <c r="T31" i="138"/>
  <c r="H46" i="138"/>
  <c r="D49" i="137"/>
  <c r="D50" i="137"/>
  <c r="W68" i="138" l="1"/>
  <c r="U47" i="138"/>
  <c r="W26" i="138"/>
  <c r="H49" i="138"/>
  <c r="H47" i="138"/>
  <c r="C49" i="137"/>
  <c r="E49" i="137"/>
  <c r="F49" i="137"/>
  <c r="G49" i="137"/>
  <c r="B49" i="137"/>
  <c r="V71" i="137" l="1"/>
  <c r="U71" i="137"/>
  <c r="T71" i="137"/>
  <c r="S71" i="137"/>
  <c r="R71" i="137"/>
  <c r="Q71" i="137"/>
  <c r="P71" i="137"/>
  <c r="O71" i="137"/>
  <c r="N71" i="137"/>
  <c r="M71" i="137"/>
  <c r="L71" i="137"/>
  <c r="K71" i="137"/>
  <c r="J71" i="137"/>
  <c r="I71" i="137"/>
  <c r="H71" i="137"/>
  <c r="G71" i="137"/>
  <c r="F71" i="137"/>
  <c r="E71" i="137"/>
  <c r="D71" i="137"/>
  <c r="C71" i="137"/>
  <c r="B71" i="137"/>
  <c r="V70" i="137"/>
  <c r="U70" i="137"/>
  <c r="T70" i="137"/>
  <c r="S70" i="137"/>
  <c r="R70" i="137"/>
  <c r="Q70" i="137"/>
  <c r="P70" i="137"/>
  <c r="O70" i="137"/>
  <c r="N70" i="137"/>
  <c r="M70" i="137"/>
  <c r="L70" i="137"/>
  <c r="K70" i="137"/>
  <c r="J70" i="137"/>
  <c r="I70" i="137"/>
  <c r="H70" i="137"/>
  <c r="G70" i="137"/>
  <c r="F70" i="137"/>
  <c r="E70" i="137"/>
  <c r="D70" i="137"/>
  <c r="C70" i="137"/>
  <c r="B70" i="137"/>
  <c r="W69" i="137"/>
  <c r="V67" i="137"/>
  <c r="V72" i="137" s="1"/>
  <c r="V74" i="137" s="1"/>
  <c r="U67" i="137"/>
  <c r="U72" i="137" s="1"/>
  <c r="U74" i="137" s="1"/>
  <c r="T67" i="137"/>
  <c r="T72" i="137" s="1"/>
  <c r="T74" i="137" s="1"/>
  <c r="S67" i="137"/>
  <c r="S72" i="137" s="1"/>
  <c r="S74" i="137" s="1"/>
  <c r="R67" i="137"/>
  <c r="R72" i="137" s="1"/>
  <c r="R74" i="137" s="1"/>
  <c r="Q67" i="137"/>
  <c r="Q72" i="137" s="1"/>
  <c r="Q74" i="137" s="1"/>
  <c r="P67" i="137"/>
  <c r="P72" i="137" s="1"/>
  <c r="P74" i="137" s="1"/>
  <c r="O67" i="137"/>
  <c r="O72" i="137" s="1"/>
  <c r="O74" i="137" s="1"/>
  <c r="N67" i="137"/>
  <c r="N72" i="137" s="1"/>
  <c r="N74" i="137" s="1"/>
  <c r="M67" i="137"/>
  <c r="M72" i="137" s="1"/>
  <c r="M74" i="137" s="1"/>
  <c r="L67" i="137"/>
  <c r="L72" i="137" s="1"/>
  <c r="L74" i="137" s="1"/>
  <c r="K67" i="137"/>
  <c r="K72" i="137" s="1"/>
  <c r="K74" i="137" s="1"/>
  <c r="J67" i="137"/>
  <c r="J72" i="137" s="1"/>
  <c r="J74" i="137" s="1"/>
  <c r="I67" i="137"/>
  <c r="H67" i="137"/>
  <c r="H72" i="137" s="1"/>
  <c r="H74" i="137" s="1"/>
  <c r="G67" i="137"/>
  <c r="G72" i="137" s="1"/>
  <c r="G74" i="137" s="1"/>
  <c r="F67" i="137"/>
  <c r="F72" i="137" s="1"/>
  <c r="F74" i="137" s="1"/>
  <c r="E67" i="137"/>
  <c r="E72" i="137" s="1"/>
  <c r="E74" i="137" s="1"/>
  <c r="D67" i="137"/>
  <c r="D72" i="137" s="1"/>
  <c r="D74" i="137" s="1"/>
  <c r="C67" i="137"/>
  <c r="C72" i="137" s="1"/>
  <c r="C74" i="137" s="1"/>
  <c r="B67" i="137"/>
  <c r="B72" i="137" s="1"/>
  <c r="B74" i="137" s="1"/>
  <c r="W66" i="137"/>
  <c r="W65" i="137"/>
  <c r="W64" i="137"/>
  <c r="W63" i="137"/>
  <c r="W62" i="137"/>
  <c r="W61" i="137"/>
  <c r="W60" i="137"/>
  <c r="T50" i="137"/>
  <c r="S50" i="137"/>
  <c r="R50" i="137"/>
  <c r="Q50" i="137"/>
  <c r="P50" i="137"/>
  <c r="O50" i="137"/>
  <c r="G50" i="137"/>
  <c r="F50" i="137"/>
  <c r="E50" i="137"/>
  <c r="C50" i="137"/>
  <c r="B50" i="137"/>
  <c r="T49" i="137"/>
  <c r="S49" i="137"/>
  <c r="R49" i="137"/>
  <c r="Q49" i="137"/>
  <c r="P49" i="137"/>
  <c r="O49" i="137"/>
  <c r="U48" i="137"/>
  <c r="H48" i="137"/>
  <c r="T46" i="137"/>
  <c r="T51" i="137" s="1"/>
  <c r="T53" i="137" s="1"/>
  <c r="S46" i="137"/>
  <c r="S51" i="137" s="1"/>
  <c r="S53" i="137" s="1"/>
  <c r="R46" i="137"/>
  <c r="R51" i="137" s="1"/>
  <c r="R53" i="137" s="1"/>
  <c r="Q46" i="137"/>
  <c r="Q51" i="137" s="1"/>
  <c r="Q53" i="137" s="1"/>
  <c r="P46" i="137"/>
  <c r="P51" i="137" s="1"/>
  <c r="P53" i="137" s="1"/>
  <c r="O46" i="137"/>
  <c r="O51" i="137" s="1"/>
  <c r="O53" i="137" s="1"/>
  <c r="G46" i="137"/>
  <c r="G51" i="137" s="1"/>
  <c r="G53" i="137" s="1"/>
  <c r="F46" i="137"/>
  <c r="F51" i="137" s="1"/>
  <c r="F53" i="137" s="1"/>
  <c r="E46" i="137"/>
  <c r="E51" i="137" s="1"/>
  <c r="E53" i="137" s="1"/>
  <c r="D46" i="137"/>
  <c r="C46" i="137"/>
  <c r="C51" i="137" s="1"/>
  <c r="C53" i="137" s="1"/>
  <c r="B46" i="137"/>
  <c r="B51" i="137" s="1"/>
  <c r="B53" i="137" s="1"/>
  <c r="U45" i="137"/>
  <c r="H45" i="137"/>
  <c r="U44" i="137"/>
  <c r="H44" i="137"/>
  <c r="U43" i="137"/>
  <c r="H43" i="137"/>
  <c r="U42" i="137"/>
  <c r="H42" i="137"/>
  <c r="U41" i="137"/>
  <c r="H41" i="137"/>
  <c r="U40" i="137"/>
  <c r="H40" i="137"/>
  <c r="U39" i="137"/>
  <c r="H39" i="137"/>
  <c r="V29" i="137"/>
  <c r="U29" i="137"/>
  <c r="T29" i="137"/>
  <c r="S29" i="137"/>
  <c r="R29" i="137"/>
  <c r="Q29" i="137"/>
  <c r="P29" i="137"/>
  <c r="O29" i="137"/>
  <c r="N29" i="137"/>
  <c r="M29" i="137"/>
  <c r="L29" i="137"/>
  <c r="K29" i="137"/>
  <c r="J29" i="137"/>
  <c r="I29" i="137"/>
  <c r="H29" i="137"/>
  <c r="G29" i="137"/>
  <c r="F29" i="137"/>
  <c r="E29" i="137"/>
  <c r="D29" i="137"/>
  <c r="C29" i="137"/>
  <c r="B29" i="137"/>
  <c r="V28" i="137"/>
  <c r="U28" i="137"/>
  <c r="T28" i="137"/>
  <c r="S28" i="137"/>
  <c r="R28" i="137"/>
  <c r="Q28" i="137"/>
  <c r="P28" i="137"/>
  <c r="O28" i="137"/>
  <c r="N28" i="137"/>
  <c r="M28" i="137"/>
  <c r="L28" i="137"/>
  <c r="K28" i="137"/>
  <c r="J28" i="137"/>
  <c r="I28" i="137"/>
  <c r="H28" i="137"/>
  <c r="G28" i="137"/>
  <c r="F28" i="137"/>
  <c r="E28" i="137"/>
  <c r="D28" i="137"/>
  <c r="C28" i="137"/>
  <c r="B28" i="137"/>
  <c r="W27" i="137"/>
  <c r="V25" i="137"/>
  <c r="V30" i="137" s="1"/>
  <c r="V32" i="137" s="1"/>
  <c r="U25" i="137"/>
  <c r="U30" i="137" s="1"/>
  <c r="U32" i="137" s="1"/>
  <c r="T25" i="137"/>
  <c r="T30" i="137" s="1"/>
  <c r="T32" i="137" s="1"/>
  <c r="S25" i="137"/>
  <c r="S30" i="137" s="1"/>
  <c r="S32" i="137" s="1"/>
  <c r="R25" i="137"/>
  <c r="R30" i="137" s="1"/>
  <c r="R32" i="137" s="1"/>
  <c r="Q25" i="137"/>
  <c r="Q30" i="137" s="1"/>
  <c r="Q32" i="137" s="1"/>
  <c r="P25" i="137"/>
  <c r="P30" i="137" s="1"/>
  <c r="P32" i="137" s="1"/>
  <c r="O25" i="137"/>
  <c r="O30" i="137" s="1"/>
  <c r="O32" i="137" s="1"/>
  <c r="N25" i="137"/>
  <c r="N30" i="137" s="1"/>
  <c r="N32" i="137" s="1"/>
  <c r="M25" i="137"/>
  <c r="M30" i="137" s="1"/>
  <c r="M32" i="137" s="1"/>
  <c r="L25" i="137"/>
  <c r="L30" i="137" s="1"/>
  <c r="L32" i="137" s="1"/>
  <c r="K25" i="137"/>
  <c r="K30" i="137" s="1"/>
  <c r="K32" i="137" s="1"/>
  <c r="J25" i="137"/>
  <c r="J30" i="137" s="1"/>
  <c r="J32" i="137" s="1"/>
  <c r="I25" i="137"/>
  <c r="I30" i="137" s="1"/>
  <c r="I32" i="137" s="1"/>
  <c r="H25" i="137"/>
  <c r="H30" i="137" s="1"/>
  <c r="H32" i="137" s="1"/>
  <c r="G25" i="137"/>
  <c r="G30" i="137" s="1"/>
  <c r="G32" i="137" s="1"/>
  <c r="F25" i="137"/>
  <c r="F30" i="137" s="1"/>
  <c r="F32" i="137" s="1"/>
  <c r="E25" i="137"/>
  <c r="E30" i="137" s="1"/>
  <c r="E32" i="137" s="1"/>
  <c r="D25" i="137"/>
  <c r="D30" i="137" s="1"/>
  <c r="D32" i="137" s="1"/>
  <c r="C25" i="137"/>
  <c r="C30" i="137" s="1"/>
  <c r="C32" i="137" s="1"/>
  <c r="B25" i="137"/>
  <c r="B30" i="137" s="1"/>
  <c r="B32" i="137" s="1"/>
  <c r="W24" i="137"/>
  <c r="W23" i="137"/>
  <c r="W22" i="137"/>
  <c r="W21" i="137"/>
  <c r="W20" i="137"/>
  <c r="W19" i="137"/>
  <c r="W18" i="137"/>
  <c r="D51" i="137" l="1"/>
  <c r="D53" i="137" s="1"/>
  <c r="D52" i="137"/>
  <c r="I73" i="137"/>
  <c r="F73" i="137"/>
  <c r="N73" i="137"/>
  <c r="V73" i="137"/>
  <c r="G73" i="137"/>
  <c r="O73" i="137"/>
  <c r="W67" i="137"/>
  <c r="W68" i="137" s="1"/>
  <c r="J73" i="137"/>
  <c r="C73" i="137"/>
  <c r="K73" i="137"/>
  <c r="S73" i="137"/>
  <c r="B73" i="137"/>
  <c r="R73" i="137"/>
  <c r="D73" i="137"/>
  <c r="L73" i="137"/>
  <c r="T73" i="137"/>
  <c r="O52" i="137"/>
  <c r="P52" i="137"/>
  <c r="Q52" i="137"/>
  <c r="S52" i="137"/>
  <c r="R52" i="137"/>
  <c r="T52" i="137"/>
  <c r="B52" i="137"/>
  <c r="C52" i="137"/>
  <c r="G52" i="137"/>
  <c r="H46" i="137"/>
  <c r="H49" i="137" s="1"/>
  <c r="E52" i="137"/>
  <c r="F52" i="137"/>
  <c r="E31" i="137"/>
  <c r="M31" i="137"/>
  <c r="U31" i="137"/>
  <c r="F31" i="137"/>
  <c r="N31" i="137"/>
  <c r="V31" i="137"/>
  <c r="I31" i="137"/>
  <c r="Q31" i="137"/>
  <c r="B31" i="137"/>
  <c r="J31" i="137"/>
  <c r="R31" i="137"/>
  <c r="C31" i="137"/>
  <c r="K31" i="137"/>
  <c r="S31" i="137"/>
  <c r="W25" i="137"/>
  <c r="W28" i="137" s="1"/>
  <c r="H31" i="137"/>
  <c r="P31" i="137"/>
  <c r="Q73" i="137"/>
  <c r="I72" i="137"/>
  <c r="I74" i="137" s="1"/>
  <c r="T31" i="137"/>
  <c r="M73" i="137"/>
  <c r="D31" i="137"/>
  <c r="E73" i="137"/>
  <c r="U73" i="137"/>
  <c r="L31" i="137"/>
  <c r="G31" i="137"/>
  <c r="O31" i="137"/>
  <c r="U46" i="137"/>
  <c r="H73" i="137"/>
  <c r="P73" i="137"/>
  <c r="C49" i="136"/>
  <c r="D49" i="136"/>
  <c r="E49" i="136"/>
  <c r="F49" i="136"/>
  <c r="G49" i="136"/>
  <c r="B49" i="136"/>
  <c r="C28" i="136"/>
  <c r="D28" i="136"/>
  <c r="E28" i="136"/>
  <c r="F28" i="136"/>
  <c r="G28" i="136"/>
  <c r="H28" i="136"/>
  <c r="I28" i="136"/>
  <c r="J28" i="136"/>
  <c r="K28" i="136"/>
  <c r="L28" i="136"/>
  <c r="M28" i="136"/>
  <c r="N28" i="136"/>
  <c r="O28" i="136"/>
  <c r="P28" i="136"/>
  <c r="Q28" i="136"/>
  <c r="R28" i="136"/>
  <c r="S28" i="136"/>
  <c r="T28" i="136"/>
  <c r="U28" i="136"/>
  <c r="V28" i="136"/>
  <c r="B29" i="136"/>
  <c r="B28" i="136"/>
  <c r="V71" i="136"/>
  <c r="U71" i="136"/>
  <c r="T71" i="136"/>
  <c r="S71" i="136"/>
  <c r="R71" i="136"/>
  <c r="Q71" i="136"/>
  <c r="P71" i="136"/>
  <c r="O71" i="136"/>
  <c r="N71" i="136"/>
  <c r="M71" i="136"/>
  <c r="L71" i="136"/>
  <c r="K71" i="136"/>
  <c r="J71" i="136"/>
  <c r="I71" i="136"/>
  <c r="H71" i="136"/>
  <c r="G71" i="136"/>
  <c r="F71" i="136"/>
  <c r="E71" i="136"/>
  <c r="D71" i="136"/>
  <c r="C71" i="136"/>
  <c r="B71" i="136"/>
  <c r="V70" i="136"/>
  <c r="U70" i="136"/>
  <c r="T70" i="136"/>
  <c r="S70" i="136"/>
  <c r="R70" i="136"/>
  <c r="Q70" i="136"/>
  <c r="P70" i="136"/>
  <c r="O70" i="136"/>
  <c r="N70" i="136"/>
  <c r="M70" i="136"/>
  <c r="L70" i="136"/>
  <c r="K70" i="136"/>
  <c r="J70" i="136"/>
  <c r="I70" i="136"/>
  <c r="H70" i="136"/>
  <c r="G70" i="136"/>
  <c r="F70" i="136"/>
  <c r="E70" i="136"/>
  <c r="D70" i="136"/>
  <c r="C70" i="136"/>
  <c r="B70" i="136"/>
  <c r="W69" i="136"/>
  <c r="V67" i="136"/>
  <c r="V72" i="136" s="1"/>
  <c r="V74" i="136" s="1"/>
  <c r="U67" i="136"/>
  <c r="T67" i="136"/>
  <c r="T72" i="136" s="1"/>
  <c r="T74" i="136" s="1"/>
  <c r="S67" i="136"/>
  <c r="S72" i="136" s="1"/>
  <c r="S74" i="136" s="1"/>
  <c r="R67" i="136"/>
  <c r="R72" i="136" s="1"/>
  <c r="R74" i="136" s="1"/>
  <c r="Q67" i="136"/>
  <c r="Q72" i="136" s="1"/>
  <c r="Q74" i="136" s="1"/>
  <c r="P67" i="136"/>
  <c r="P72" i="136" s="1"/>
  <c r="P74" i="136" s="1"/>
  <c r="O67" i="136"/>
  <c r="O72" i="136" s="1"/>
  <c r="O74" i="136" s="1"/>
  <c r="N67" i="136"/>
  <c r="N72" i="136" s="1"/>
  <c r="N74" i="136" s="1"/>
  <c r="M67" i="136"/>
  <c r="M72" i="136" s="1"/>
  <c r="M74" i="136" s="1"/>
  <c r="L67" i="136"/>
  <c r="L72" i="136" s="1"/>
  <c r="L74" i="136" s="1"/>
  <c r="K67" i="136"/>
  <c r="K72" i="136" s="1"/>
  <c r="K74" i="136" s="1"/>
  <c r="J67" i="136"/>
  <c r="J72" i="136" s="1"/>
  <c r="J74" i="136" s="1"/>
  <c r="I67" i="136"/>
  <c r="I72" i="136" s="1"/>
  <c r="I74" i="136" s="1"/>
  <c r="H67" i="136"/>
  <c r="H72" i="136" s="1"/>
  <c r="H74" i="136" s="1"/>
  <c r="G67" i="136"/>
  <c r="G72" i="136" s="1"/>
  <c r="G74" i="136" s="1"/>
  <c r="F67" i="136"/>
  <c r="F72" i="136" s="1"/>
  <c r="F74" i="136" s="1"/>
  <c r="E67" i="136"/>
  <c r="D67" i="136"/>
  <c r="D72" i="136" s="1"/>
  <c r="D74" i="136" s="1"/>
  <c r="C67" i="136"/>
  <c r="C72" i="136" s="1"/>
  <c r="C74" i="136" s="1"/>
  <c r="B67" i="136"/>
  <c r="B72" i="136" s="1"/>
  <c r="B74" i="136" s="1"/>
  <c r="W66" i="136"/>
  <c r="W65" i="136"/>
  <c r="W64" i="136"/>
  <c r="W63" i="136"/>
  <c r="W62" i="136"/>
  <c r="W61" i="136"/>
  <c r="W60" i="136"/>
  <c r="T50" i="136"/>
  <c r="S50" i="136"/>
  <c r="R50" i="136"/>
  <c r="Q50" i="136"/>
  <c r="P50" i="136"/>
  <c r="O50" i="136"/>
  <c r="G50" i="136"/>
  <c r="F50" i="136"/>
  <c r="E50" i="136"/>
  <c r="D50" i="136"/>
  <c r="C50" i="136"/>
  <c r="B50" i="136"/>
  <c r="T49" i="136"/>
  <c r="S49" i="136"/>
  <c r="R49" i="136"/>
  <c r="Q49" i="136"/>
  <c r="P49" i="136"/>
  <c r="O49" i="136"/>
  <c r="U48" i="136"/>
  <c r="H48" i="136"/>
  <c r="T46" i="136"/>
  <c r="T51" i="136" s="1"/>
  <c r="T53" i="136" s="1"/>
  <c r="S46" i="136"/>
  <c r="S51" i="136" s="1"/>
  <c r="S53" i="136" s="1"/>
  <c r="R46" i="136"/>
  <c r="R51" i="136" s="1"/>
  <c r="R53" i="136" s="1"/>
  <c r="Q46" i="136"/>
  <c r="Q51" i="136" s="1"/>
  <c r="Q53" i="136" s="1"/>
  <c r="P46" i="136"/>
  <c r="P51" i="136" s="1"/>
  <c r="P53" i="136" s="1"/>
  <c r="O46" i="136"/>
  <c r="O51" i="136" s="1"/>
  <c r="O53" i="136" s="1"/>
  <c r="G46" i="136"/>
  <c r="G51" i="136" s="1"/>
  <c r="G53" i="136" s="1"/>
  <c r="F46" i="136"/>
  <c r="F51" i="136" s="1"/>
  <c r="F53" i="136" s="1"/>
  <c r="E46" i="136"/>
  <c r="E51" i="136" s="1"/>
  <c r="E53" i="136" s="1"/>
  <c r="D46" i="136"/>
  <c r="C46" i="136"/>
  <c r="C51" i="136" s="1"/>
  <c r="C53" i="136" s="1"/>
  <c r="B46" i="136"/>
  <c r="B51" i="136" s="1"/>
  <c r="B53" i="136" s="1"/>
  <c r="U45" i="136"/>
  <c r="H45" i="136"/>
  <c r="U44" i="136"/>
  <c r="H44" i="136"/>
  <c r="U43" i="136"/>
  <c r="H43" i="136"/>
  <c r="U42" i="136"/>
  <c r="H42" i="136"/>
  <c r="U41" i="136"/>
  <c r="H41" i="136"/>
  <c r="U40" i="136"/>
  <c r="H40" i="136"/>
  <c r="U39" i="136"/>
  <c r="H39" i="136"/>
  <c r="V29" i="136"/>
  <c r="U29" i="136"/>
  <c r="T29" i="136"/>
  <c r="S29" i="136"/>
  <c r="R29" i="136"/>
  <c r="Q29" i="136"/>
  <c r="P29" i="136"/>
  <c r="O29" i="136"/>
  <c r="N29" i="136"/>
  <c r="M29" i="136"/>
  <c r="L29" i="136"/>
  <c r="K29" i="136"/>
  <c r="J29" i="136"/>
  <c r="I29" i="136"/>
  <c r="H29" i="136"/>
  <c r="G29" i="136"/>
  <c r="F29" i="136"/>
  <c r="E29" i="136"/>
  <c r="D29" i="136"/>
  <c r="C29" i="136"/>
  <c r="W27" i="136"/>
  <c r="V25" i="136"/>
  <c r="V30" i="136" s="1"/>
  <c r="V32" i="136" s="1"/>
  <c r="U25" i="136"/>
  <c r="U30" i="136" s="1"/>
  <c r="U32" i="136" s="1"/>
  <c r="T25" i="136"/>
  <c r="T30" i="136" s="1"/>
  <c r="T32" i="136" s="1"/>
  <c r="S25" i="136"/>
  <c r="S30" i="136" s="1"/>
  <c r="S32" i="136" s="1"/>
  <c r="R25" i="136"/>
  <c r="R30" i="136" s="1"/>
  <c r="R32" i="136" s="1"/>
  <c r="Q25" i="136"/>
  <c r="Q30" i="136" s="1"/>
  <c r="Q32" i="136" s="1"/>
  <c r="P25" i="136"/>
  <c r="P30" i="136" s="1"/>
  <c r="P32" i="136" s="1"/>
  <c r="O25" i="136"/>
  <c r="O30" i="136" s="1"/>
  <c r="O32" i="136" s="1"/>
  <c r="N25" i="136"/>
  <c r="N30" i="136" s="1"/>
  <c r="N32" i="136" s="1"/>
  <c r="M25" i="136"/>
  <c r="M30" i="136" s="1"/>
  <c r="M32" i="136" s="1"/>
  <c r="L25" i="136"/>
  <c r="K25" i="136"/>
  <c r="K30" i="136" s="1"/>
  <c r="K32" i="136" s="1"/>
  <c r="J25" i="136"/>
  <c r="J30" i="136" s="1"/>
  <c r="J32" i="136" s="1"/>
  <c r="I25" i="136"/>
  <c r="I30" i="136" s="1"/>
  <c r="I32" i="136" s="1"/>
  <c r="H25" i="136"/>
  <c r="H30" i="136" s="1"/>
  <c r="H32" i="136" s="1"/>
  <c r="G25" i="136"/>
  <c r="G30" i="136" s="1"/>
  <c r="G32" i="136" s="1"/>
  <c r="F25" i="136"/>
  <c r="F30" i="136" s="1"/>
  <c r="F32" i="136" s="1"/>
  <c r="E25" i="136"/>
  <c r="D25" i="136"/>
  <c r="C25" i="136"/>
  <c r="C30" i="136" s="1"/>
  <c r="C32" i="136" s="1"/>
  <c r="B25" i="136"/>
  <c r="B30" i="136" s="1"/>
  <c r="B32" i="136" s="1"/>
  <c r="W24" i="136"/>
  <c r="W23" i="136"/>
  <c r="W22" i="136"/>
  <c r="W21" i="136"/>
  <c r="W20" i="136"/>
  <c r="W19" i="136"/>
  <c r="W18" i="136"/>
  <c r="S73" i="136" l="1"/>
  <c r="W70" i="137"/>
  <c r="H47" i="137"/>
  <c r="W26" i="137"/>
  <c r="U49" i="137"/>
  <c r="U47" i="137"/>
  <c r="E73" i="136"/>
  <c r="U73" i="136"/>
  <c r="D31" i="136"/>
  <c r="C52" i="136"/>
  <c r="D52" i="136"/>
  <c r="C73" i="136"/>
  <c r="K73" i="136"/>
  <c r="B31" i="136"/>
  <c r="L31" i="136"/>
  <c r="E31" i="136"/>
  <c r="D73" i="136"/>
  <c r="L73" i="136"/>
  <c r="T73" i="136"/>
  <c r="H73" i="136"/>
  <c r="I73" i="136"/>
  <c r="Q73" i="136"/>
  <c r="G73" i="136"/>
  <c r="O73" i="136"/>
  <c r="P73" i="136"/>
  <c r="W67" i="136"/>
  <c r="W70" i="136" s="1"/>
  <c r="B73" i="136"/>
  <c r="J73" i="136"/>
  <c r="R73" i="136"/>
  <c r="R52" i="136"/>
  <c r="S52" i="136"/>
  <c r="Q52" i="136"/>
  <c r="T52" i="136"/>
  <c r="O52" i="136"/>
  <c r="P52" i="136"/>
  <c r="F52" i="136"/>
  <c r="G52" i="136"/>
  <c r="E52" i="136"/>
  <c r="B52" i="136"/>
  <c r="W25" i="136"/>
  <c r="W26" i="136" s="1"/>
  <c r="C31" i="136"/>
  <c r="K31" i="136"/>
  <c r="S31" i="136"/>
  <c r="M31" i="136"/>
  <c r="T31" i="136"/>
  <c r="F31" i="136"/>
  <c r="V31" i="136"/>
  <c r="H31" i="136"/>
  <c r="P31" i="136"/>
  <c r="I31" i="136"/>
  <c r="Q31" i="136"/>
  <c r="D30" i="136"/>
  <c r="D32" i="136" s="1"/>
  <c r="J31" i="136"/>
  <c r="R31" i="136"/>
  <c r="E30" i="136"/>
  <c r="E32" i="136" s="1"/>
  <c r="N31" i="136"/>
  <c r="U46" i="136"/>
  <c r="N73" i="136"/>
  <c r="E72" i="136"/>
  <c r="E74" i="136" s="1"/>
  <c r="O31" i="136"/>
  <c r="U72" i="136"/>
  <c r="U74" i="136" s="1"/>
  <c r="U31" i="136"/>
  <c r="M73" i="136"/>
  <c r="F73" i="136"/>
  <c r="V73" i="136"/>
  <c r="L30" i="136"/>
  <c r="L32" i="136" s="1"/>
  <c r="G31" i="136"/>
  <c r="D51" i="136"/>
  <c r="D53" i="136" s="1"/>
  <c r="H46" i="136"/>
  <c r="H48" i="135"/>
  <c r="W68" i="136" l="1"/>
  <c r="W28" i="136"/>
  <c r="U49" i="136"/>
  <c r="U47" i="136"/>
  <c r="H49" i="136"/>
  <c r="H47" i="136"/>
  <c r="B28" i="135"/>
  <c r="C28" i="135"/>
  <c r="D28" i="135"/>
  <c r="E28" i="135"/>
  <c r="F28" i="135"/>
  <c r="G28" i="135"/>
  <c r="H28" i="135"/>
  <c r="I28" i="135"/>
  <c r="J28" i="135"/>
  <c r="K28" i="135"/>
  <c r="L28" i="135"/>
  <c r="M28" i="135"/>
  <c r="N28" i="135"/>
  <c r="O28" i="135"/>
  <c r="P28" i="135"/>
  <c r="Q28" i="135"/>
  <c r="R28" i="135"/>
  <c r="S28" i="135"/>
  <c r="T28" i="135"/>
  <c r="U28" i="135"/>
  <c r="V28" i="135"/>
  <c r="B29" i="135"/>
  <c r="C29" i="135"/>
  <c r="D29" i="135"/>
  <c r="E29" i="135"/>
  <c r="F29" i="135"/>
  <c r="G29" i="135"/>
  <c r="H29" i="135"/>
  <c r="I29" i="135"/>
  <c r="J29" i="135"/>
  <c r="K29" i="135"/>
  <c r="L29" i="135"/>
  <c r="M29" i="135"/>
  <c r="N29" i="135"/>
  <c r="O29" i="135"/>
  <c r="P29" i="135"/>
  <c r="Q29" i="135"/>
  <c r="R29" i="135"/>
  <c r="S29" i="135"/>
  <c r="T29" i="135"/>
  <c r="U29" i="135"/>
  <c r="V29" i="135"/>
  <c r="V71" i="135" l="1"/>
  <c r="U71" i="135"/>
  <c r="T71" i="135"/>
  <c r="S71" i="135"/>
  <c r="R71" i="135"/>
  <c r="Q71" i="135"/>
  <c r="P71" i="135"/>
  <c r="O71" i="135"/>
  <c r="N71" i="135"/>
  <c r="M71" i="135"/>
  <c r="L71" i="135"/>
  <c r="K71" i="135"/>
  <c r="J71" i="135"/>
  <c r="I71" i="135"/>
  <c r="H71" i="135"/>
  <c r="G71" i="135"/>
  <c r="F71" i="135"/>
  <c r="E71" i="135"/>
  <c r="D71" i="135"/>
  <c r="C71" i="135"/>
  <c r="B71" i="135"/>
  <c r="V70" i="135"/>
  <c r="U70" i="135"/>
  <c r="T70" i="135"/>
  <c r="S70" i="135"/>
  <c r="R70" i="135"/>
  <c r="Q70" i="135"/>
  <c r="P70" i="135"/>
  <c r="O70" i="135"/>
  <c r="N70" i="135"/>
  <c r="M70" i="135"/>
  <c r="L70" i="135"/>
  <c r="K70" i="135"/>
  <c r="J70" i="135"/>
  <c r="I70" i="135"/>
  <c r="H70" i="135"/>
  <c r="G70" i="135"/>
  <c r="F70" i="135"/>
  <c r="E70" i="135"/>
  <c r="D70" i="135"/>
  <c r="C70" i="135"/>
  <c r="B70" i="135"/>
  <c r="W69" i="135"/>
  <c r="V67" i="135"/>
  <c r="V72" i="135" s="1"/>
  <c r="V74" i="135" s="1"/>
  <c r="U67" i="135"/>
  <c r="U72" i="135" s="1"/>
  <c r="U74" i="135" s="1"/>
  <c r="T67" i="135"/>
  <c r="T72" i="135" s="1"/>
  <c r="T74" i="135" s="1"/>
  <c r="S67" i="135"/>
  <c r="S72" i="135" s="1"/>
  <c r="S74" i="135" s="1"/>
  <c r="R67" i="135"/>
  <c r="R72" i="135" s="1"/>
  <c r="R74" i="135" s="1"/>
  <c r="Q67" i="135"/>
  <c r="Q72" i="135" s="1"/>
  <c r="Q74" i="135" s="1"/>
  <c r="P67" i="135"/>
  <c r="P72" i="135" s="1"/>
  <c r="P74" i="135" s="1"/>
  <c r="O67" i="135"/>
  <c r="O72" i="135" s="1"/>
  <c r="O74" i="135" s="1"/>
  <c r="N67" i="135"/>
  <c r="N72" i="135" s="1"/>
  <c r="N74" i="135" s="1"/>
  <c r="M67" i="135"/>
  <c r="M72" i="135" s="1"/>
  <c r="M74" i="135" s="1"/>
  <c r="L67" i="135"/>
  <c r="L72" i="135" s="1"/>
  <c r="L74" i="135" s="1"/>
  <c r="K67" i="135"/>
  <c r="K72" i="135" s="1"/>
  <c r="K74" i="135" s="1"/>
  <c r="J67" i="135"/>
  <c r="J72" i="135" s="1"/>
  <c r="J74" i="135" s="1"/>
  <c r="I67" i="135"/>
  <c r="I72" i="135" s="1"/>
  <c r="I74" i="135" s="1"/>
  <c r="H67" i="135"/>
  <c r="H72" i="135" s="1"/>
  <c r="H74" i="135" s="1"/>
  <c r="G67" i="135"/>
  <c r="G72" i="135" s="1"/>
  <c r="G74" i="135" s="1"/>
  <c r="F67" i="135"/>
  <c r="E67" i="135"/>
  <c r="E72" i="135" s="1"/>
  <c r="E74" i="135" s="1"/>
  <c r="D67" i="135"/>
  <c r="D72" i="135" s="1"/>
  <c r="D74" i="135" s="1"/>
  <c r="C67" i="135"/>
  <c r="C72" i="135" s="1"/>
  <c r="C74" i="135" s="1"/>
  <c r="B67" i="135"/>
  <c r="B72" i="135" s="1"/>
  <c r="B74" i="135" s="1"/>
  <c r="W66" i="135"/>
  <c r="W65" i="135"/>
  <c r="W64" i="135"/>
  <c r="W63" i="135"/>
  <c r="W62" i="135"/>
  <c r="W61" i="135"/>
  <c r="W60" i="135"/>
  <c r="T50" i="135"/>
  <c r="S50" i="135"/>
  <c r="R50" i="135"/>
  <c r="Q50" i="135"/>
  <c r="P50" i="135"/>
  <c r="O50" i="135"/>
  <c r="G50" i="135"/>
  <c r="F50" i="135"/>
  <c r="E50" i="135"/>
  <c r="D50" i="135"/>
  <c r="C50" i="135"/>
  <c r="B50" i="135"/>
  <c r="T49" i="135"/>
  <c r="S49" i="135"/>
  <c r="R49" i="135"/>
  <c r="Q49" i="135"/>
  <c r="P49" i="135"/>
  <c r="O49" i="135"/>
  <c r="G49" i="135"/>
  <c r="F49" i="135"/>
  <c r="E49" i="135"/>
  <c r="D49" i="135"/>
  <c r="C49" i="135"/>
  <c r="B49" i="135"/>
  <c r="U48" i="135"/>
  <c r="T46" i="135"/>
  <c r="T51" i="135" s="1"/>
  <c r="T53" i="135" s="1"/>
  <c r="S46" i="135"/>
  <c r="S51" i="135" s="1"/>
  <c r="S53" i="135" s="1"/>
  <c r="R46" i="135"/>
  <c r="R51" i="135" s="1"/>
  <c r="R53" i="135" s="1"/>
  <c r="Q46" i="135"/>
  <c r="Q51" i="135" s="1"/>
  <c r="Q53" i="135" s="1"/>
  <c r="P46" i="135"/>
  <c r="P51" i="135" s="1"/>
  <c r="P53" i="135" s="1"/>
  <c r="O46" i="135"/>
  <c r="O51" i="135" s="1"/>
  <c r="O53" i="135" s="1"/>
  <c r="G46" i="135"/>
  <c r="G51" i="135" s="1"/>
  <c r="G53" i="135" s="1"/>
  <c r="F46" i="135"/>
  <c r="F51" i="135" s="1"/>
  <c r="F53" i="135" s="1"/>
  <c r="E46" i="135"/>
  <c r="E51" i="135" s="1"/>
  <c r="E53" i="135" s="1"/>
  <c r="D46" i="135"/>
  <c r="D51" i="135" s="1"/>
  <c r="D53" i="135" s="1"/>
  <c r="C46" i="135"/>
  <c r="B46" i="135"/>
  <c r="B51" i="135" s="1"/>
  <c r="B53" i="135" s="1"/>
  <c r="U45" i="135"/>
  <c r="H45" i="135"/>
  <c r="U44" i="135"/>
  <c r="H44" i="135"/>
  <c r="U43" i="135"/>
  <c r="H43" i="135"/>
  <c r="U42" i="135"/>
  <c r="H42" i="135"/>
  <c r="U41" i="135"/>
  <c r="H41" i="135"/>
  <c r="U40" i="135"/>
  <c r="H40" i="135"/>
  <c r="U39" i="135"/>
  <c r="H39" i="135"/>
  <c r="W27" i="135"/>
  <c r="V25" i="135"/>
  <c r="V30" i="135" s="1"/>
  <c r="V32" i="135" s="1"/>
  <c r="U25" i="135"/>
  <c r="U31" i="135" s="1"/>
  <c r="T25" i="135"/>
  <c r="T30" i="135" s="1"/>
  <c r="T32" i="135" s="1"/>
  <c r="S25" i="135"/>
  <c r="S30" i="135" s="1"/>
  <c r="S32" i="135" s="1"/>
  <c r="R25" i="135"/>
  <c r="R30" i="135" s="1"/>
  <c r="R32" i="135" s="1"/>
  <c r="Q25" i="135"/>
  <c r="Q30" i="135" s="1"/>
  <c r="Q32" i="135" s="1"/>
  <c r="P25" i="135"/>
  <c r="P30" i="135" s="1"/>
  <c r="P32" i="135" s="1"/>
  <c r="O25" i="135"/>
  <c r="O30" i="135" s="1"/>
  <c r="O32" i="135" s="1"/>
  <c r="N25" i="135"/>
  <c r="N30" i="135" s="1"/>
  <c r="N32" i="135" s="1"/>
  <c r="M25" i="135"/>
  <c r="M30" i="135" s="1"/>
  <c r="M32" i="135" s="1"/>
  <c r="L25" i="135"/>
  <c r="L30" i="135" s="1"/>
  <c r="L32" i="135" s="1"/>
  <c r="K25" i="135"/>
  <c r="K30" i="135" s="1"/>
  <c r="K32" i="135" s="1"/>
  <c r="J25" i="135"/>
  <c r="J30" i="135" s="1"/>
  <c r="J32" i="135" s="1"/>
  <c r="I25" i="135"/>
  <c r="I30" i="135" s="1"/>
  <c r="I32" i="135" s="1"/>
  <c r="H25" i="135"/>
  <c r="H30" i="135" s="1"/>
  <c r="H32" i="135" s="1"/>
  <c r="G25" i="135"/>
  <c r="G30" i="135" s="1"/>
  <c r="G32" i="135" s="1"/>
  <c r="F25" i="135"/>
  <c r="F30" i="135" s="1"/>
  <c r="F32" i="135" s="1"/>
  <c r="E25" i="135"/>
  <c r="E30" i="135" s="1"/>
  <c r="E32" i="135" s="1"/>
  <c r="D25" i="135"/>
  <c r="D30" i="135" s="1"/>
  <c r="D32" i="135" s="1"/>
  <c r="C25" i="135"/>
  <c r="C30" i="135" s="1"/>
  <c r="C32" i="135" s="1"/>
  <c r="B25" i="135"/>
  <c r="B30" i="135" s="1"/>
  <c r="B32" i="135" s="1"/>
  <c r="W24" i="135"/>
  <c r="W23" i="135"/>
  <c r="W22" i="135"/>
  <c r="W21" i="135"/>
  <c r="W20" i="135"/>
  <c r="W19" i="135"/>
  <c r="W18" i="135"/>
  <c r="F73" i="135" l="1"/>
  <c r="E52" i="135"/>
  <c r="F52" i="135"/>
  <c r="G73" i="135"/>
  <c r="O73" i="135"/>
  <c r="W67" i="135"/>
  <c r="W68" i="135" s="1"/>
  <c r="H73" i="135"/>
  <c r="P73" i="135"/>
  <c r="I73" i="135"/>
  <c r="Q73" i="135"/>
  <c r="B73" i="135"/>
  <c r="J73" i="135"/>
  <c r="R73" i="135"/>
  <c r="C73" i="135"/>
  <c r="K73" i="135"/>
  <c r="S73" i="135"/>
  <c r="T52" i="135"/>
  <c r="O52" i="135"/>
  <c r="P52" i="135"/>
  <c r="Q52" i="135"/>
  <c r="R52" i="135"/>
  <c r="S52" i="135"/>
  <c r="H46" i="135"/>
  <c r="H49" i="135" s="1"/>
  <c r="G52" i="135"/>
  <c r="B52" i="135"/>
  <c r="C52" i="135"/>
  <c r="D52" i="135"/>
  <c r="F31" i="135"/>
  <c r="N31" i="135"/>
  <c r="V31" i="135"/>
  <c r="G31" i="135"/>
  <c r="O31" i="135"/>
  <c r="H31" i="135"/>
  <c r="P31" i="135"/>
  <c r="I31" i="135"/>
  <c r="Q31" i="135"/>
  <c r="B31" i="135"/>
  <c r="J31" i="135"/>
  <c r="R31" i="135"/>
  <c r="W25" i="135"/>
  <c r="W26" i="135" s="1"/>
  <c r="C31" i="135"/>
  <c r="K31" i="135"/>
  <c r="S31" i="135"/>
  <c r="D73" i="135"/>
  <c r="L73" i="135"/>
  <c r="T73" i="135"/>
  <c r="D31" i="135"/>
  <c r="L31" i="135"/>
  <c r="T31" i="135"/>
  <c r="E73" i="135"/>
  <c r="M73" i="135"/>
  <c r="U73" i="135"/>
  <c r="E31" i="135"/>
  <c r="M31" i="135"/>
  <c r="V73" i="135"/>
  <c r="U46" i="135"/>
  <c r="C51" i="135"/>
  <c r="C53" i="135" s="1"/>
  <c r="N73" i="135"/>
  <c r="U30" i="135"/>
  <c r="U32" i="135" s="1"/>
  <c r="F72" i="135"/>
  <c r="F74" i="135" s="1"/>
  <c r="T48" i="133"/>
  <c r="W70" i="135" l="1"/>
  <c r="H47" i="135"/>
  <c r="W28" i="135"/>
  <c r="U49" i="135"/>
  <c r="U47" i="135"/>
  <c r="U48" i="134"/>
  <c r="H41" i="134"/>
  <c r="H42" i="134"/>
  <c r="H43" i="134"/>
  <c r="H44" i="134"/>
  <c r="H45" i="134"/>
  <c r="U41" i="134"/>
  <c r="U42" i="134"/>
  <c r="U43" i="134"/>
  <c r="U44" i="134"/>
  <c r="U45" i="134"/>
  <c r="U40" i="134"/>
  <c r="U39" i="134" l="1"/>
  <c r="T50" i="134"/>
  <c r="S50" i="134"/>
  <c r="R50" i="134"/>
  <c r="T49" i="134"/>
  <c r="S49" i="134"/>
  <c r="R49" i="134"/>
  <c r="T46" i="134"/>
  <c r="T51" i="134" s="1"/>
  <c r="T53" i="134" s="1"/>
  <c r="S46" i="134"/>
  <c r="S51" i="134" s="1"/>
  <c r="S53" i="134" s="1"/>
  <c r="R46" i="134"/>
  <c r="R51" i="134" s="1"/>
  <c r="R53" i="134" s="1"/>
  <c r="V71" i="134"/>
  <c r="U71" i="134"/>
  <c r="T71" i="134"/>
  <c r="S71" i="134"/>
  <c r="R71" i="134"/>
  <c r="Q71" i="134"/>
  <c r="P71" i="134"/>
  <c r="O71" i="134"/>
  <c r="N71" i="134"/>
  <c r="M71" i="134"/>
  <c r="L71" i="134"/>
  <c r="K71" i="134"/>
  <c r="J71" i="134"/>
  <c r="I71" i="134"/>
  <c r="H71" i="134"/>
  <c r="G71" i="134"/>
  <c r="F71" i="134"/>
  <c r="E71" i="134"/>
  <c r="D71" i="134"/>
  <c r="C71" i="134"/>
  <c r="B71" i="134"/>
  <c r="V70" i="134"/>
  <c r="U70" i="134"/>
  <c r="T70" i="134"/>
  <c r="S70" i="134"/>
  <c r="R70" i="134"/>
  <c r="Q70" i="134"/>
  <c r="P70" i="134"/>
  <c r="O70" i="134"/>
  <c r="N70" i="134"/>
  <c r="M70" i="134"/>
  <c r="L70" i="134"/>
  <c r="K70" i="134"/>
  <c r="J70" i="134"/>
  <c r="I70" i="134"/>
  <c r="H70" i="134"/>
  <c r="G70" i="134"/>
  <c r="F70" i="134"/>
  <c r="E70" i="134"/>
  <c r="D70" i="134"/>
  <c r="C70" i="134"/>
  <c r="B70" i="134"/>
  <c r="W69" i="134"/>
  <c r="V67" i="134"/>
  <c r="V72" i="134" s="1"/>
  <c r="V74" i="134" s="1"/>
  <c r="U67" i="134"/>
  <c r="U72" i="134" s="1"/>
  <c r="U74" i="134" s="1"/>
  <c r="T67" i="134"/>
  <c r="T72" i="134" s="1"/>
  <c r="T74" i="134" s="1"/>
  <c r="S67" i="134"/>
  <c r="S72" i="134" s="1"/>
  <c r="S74" i="134" s="1"/>
  <c r="R67" i="134"/>
  <c r="R72" i="134" s="1"/>
  <c r="R74" i="134" s="1"/>
  <c r="Q67" i="134"/>
  <c r="P67" i="134"/>
  <c r="P72" i="134" s="1"/>
  <c r="P74" i="134" s="1"/>
  <c r="O67" i="134"/>
  <c r="O72" i="134" s="1"/>
  <c r="O74" i="134" s="1"/>
  <c r="N67" i="134"/>
  <c r="N72" i="134" s="1"/>
  <c r="N74" i="134" s="1"/>
  <c r="M67" i="134"/>
  <c r="M72" i="134" s="1"/>
  <c r="M74" i="134" s="1"/>
  <c r="L67" i="134"/>
  <c r="L72" i="134" s="1"/>
  <c r="L74" i="134" s="1"/>
  <c r="K67" i="134"/>
  <c r="K72" i="134" s="1"/>
  <c r="K74" i="134" s="1"/>
  <c r="J67" i="134"/>
  <c r="J72" i="134" s="1"/>
  <c r="J74" i="134" s="1"/>
  <c r="I67" i="134"/>
  <c r="H67" i="134"/>
  <c r="H72" i="134" s="1"/>
  <c r="H74" i="134" s="1"/>
  <c r="G67" i="134"/>
  <c r="G72" i="134" s="1"/>
  <c r="G74" i="134" s="1"/>
  <c r="F67" i="134"/>
  <c r="F72" i="134" s="1"/>
  <c r="F74" i="134" s="1"/>
  <c r="E67" i="134"/>
  <c r="E72" i="134" s="1"/>
  <c r="E74" i="134" s="1"/>
  <c r="D67" i="134"/>
  <c r="D72" i="134" s="1"/>
  <c r="D74" i="134" s="1"/>
  <c r="C67" i="134"/>
  <c r="C72" i="134" s="1"/>
  <c r="C74" i="134" s="1"/>
  <c r="B67" i="134"/>
  <c r="B72" i="134" s="1"/>
  <c r="B74" i="134" s="1"/>
  <c r="W66" i="134"/>
  <c r="W65" i="134"/>
  <c r="W64" i="134"/>
  <c r="W63" i="134"/>
  <c r="W62" i="134"/>
  <c r="W61" i="134"/>
  <c r="W60" i="134"/>
  <c r="Q50" i="134"/>
  <c r="P50" i="134"/>
  <c r="O50" i="134"/>
  <c r="G50" i="134"/>
  <c r="F50" i="134"/>
  <c r="E50" i="134"/>
  <c r="D50" i="134"/>
  <c r="C50" i="134"/>
  <c r="B50" i="134"/>
  <c r="Q49" i="134"/>
  <c r="P49" i="134"/>
  <c r="O49" i="134"/>
  <c r="G49" i="134"/>
  <c r="F49" i="134"/>
  <c r="E49" i="134"/>
  <c r="D49" i="134"/>
  <c r="C49" i="134"/>
  <c r="B49" i="134"/>
  <c r="H48" i="134"/>
  <c r="Q46" i="134"/>
  <c r="Q51" i="134" s="1"/>
  <c r="Q53" i="134" s="1"/>
  <c r="P46" i="134"/>
  <c r="P51" i="134" s="1"/>
  <c r="P53" i="134" s="1"/>
  <c r="O46" i="134"/>
  <c r="G46" i="134"/>
  <c r="G51" i="134" s="1"/>
  <c r="G53" i="134" s="1"/>
  <c r="F46" i="134"/>
  <c r="E46" i="134"/>
  <c r="E51" i="134" s="1"/>
  <c r="E53" i="134" s="1"/>
  <c r="D46" i="134"/>
  <c r="D51" i="134" s="1"/>
  <c r="D53" i="134" s="1"/>
  <c r="C46" i="134"/>
  <c r="C51" i="134" s="1"/>
  <c r="C53" i="134" s="1"/>
  <c r="B46" i="134"/>
  <c r="B51" i="134" s="1"/>
  <c r="B53" i="134" s="1"/>
  <c r="H40" i="134"/>
  <c r="H39" i="134"/>
  <c r="V29" i="134"/>
  <c r="U29" i="134"/>
  <c r="T29" i="134"/>
  <c r="S29" i="134"/>
  <c r="R29" i="134"/>
  <c r="Q29" i="134"/>
  <c r="P29" i="134"/>
  <c r="O29" i="134"/>
  <c r="N29" i="134"/>
  <c r="M29" i="134"/>
  <c r="L29" i="134"/>
  <c r="K29" i="134"/>
  <c r="J29" i="134"/>
  <c r="I29" i="134"/>
  <c r="H29" i="134"/>
  <c r="G29" i="134"/>
  <c r="F29" i="134"/>
  <c r="E29" i="134"/>
  <c r="D29" i="134"/>
  <c r="C29" i="134"/>
  <c r="B29" i="134"/>
  <c r="V28" i="134"/>
  <c r="U28" i="134"/>
  <c r="T28" i="134"/>
  <c r="S28" i="134"/>
  <c r="R28" i="134"/>
  <c r="Q28" i="134"/>
  <c r="P28" i="134"/>
  <c r="O28" i="134"/>
  <c r="N28" i="134"/>
  <c r="M28" i="134"/>
  <c r="L28" i="134"/>
  <c r="K28" i="134"/>
  <c r="J28" i="134"/>
  <c r="I28" i="134"/>
  <c r="H28" i="134"/>
  <c r="G28" i="134"/>
  <c r="F28" i="134"/>
  <c r="E28" i="134"/>
  <c r="D28" i="134"/>
  <c r="C28" i="134"/>
  <c r="B28" i="134"/>
  <c r="W27" i="134"/>
  <c r="V25" i="134"/>
  <c r="V30" i="134" s="1"/>
  <c r="V32" i="134" s="1"/>
  <c r="U25" i="134"/>
  <c r="U30" i="134" s="1"/>
  <c r="U32" i="134" s="1"/>
  <c r="T25" i="134"/>
  <c r="T30" i="134" s="1"/>
  <c r="T32" i="134" s="1"/>
  <c r="S25" i="134"/>
  <c r="S30" i="134" s="1"/>
  <c r="S32" i="134" s="1"/>
  <c r="R25" i="134"/>
  <c r="Q25" i="134"/>
  <c r="Q30" i="134" s="1"/>
  <c r="Q32" i="134" s="1"/>
  <c r="P25" i="134"/>
  <c r="P30" i="134" s="1"/>
  <c r="P32" i="134" s="1"/>
  <c r="O25" i="134"/>
  <c r="O30" i="134" s="1"/>
  <c r="O32" i="134" s="1"/>
  <c r="N25" i="134"/>
  <c r="N30" i="134" s="1"/>
  <c r="N32" i="134" s="1"/>
  <c r="M25" i="134"/>
  <c r="M30" i="134" s="1"/>
  <c r="M32" i="134" s="1"/>
  <c r="L25" i="134"/>
  <c r="L30" i="134" s="1"/>
  <c r="L32" i="134" s="1"/>
  <c r="K25" i="134"/>
  <c r="K30" i="134" s="1"/>
  <c r="K32" i="134" s="1"/>
  <c r="J25" i="134"/>
  <c r="I25" i="134"/>
  <c r="I30" i="134" s="1"/>
  <c r="I32" i="134" s="1"/>
  <c r="H25" i="134"/>
  <c r="H30" i="134" s="1"/>
  <c r="H32" i="134" s="1"/>
  <c r="G25" i="134"/>
  <c r="G30" i="134" s="1"/>
  <c r="G32" i="134" s="1"/>
  <c r="F25" i="134"/>
  <c r="F30" i="134" s="1"/>
  <c r="F32" i="134" s="1"/>
  <c r="E25" i="134"/>
  <c r="D25" i="134"/>
  <c r="D30" i="134" s="1"/>
  <c r="D32" i="134" s="1"/>
  <c r="C25" i="134"/>
  <c r="C30" i="134" s="1"/>
  <c r="C32" i="134" s="1"/>
  <c r="B25" i="134"/>
  <c r="B30" i="134" s="1"/>
  <c r="B32" i="134" s="1"/>
  <c r="W24" i="134"/>
  <c r="W23" i="134"/>
  <c r="W22" i="134"/>
  <c r="W21" i="134"/>
  <c r="W20" i="134"/>
  <c r="W19" i="134"/>
  <c r="W18" i="134"/>
  <c r="O51" i="134" l="1"/>
  <c r="O53" i="134" s="1"/>
  <c r="U46" i="134"/>
  <c r="J31" i="134"/>
  <c r="R31" i="134"/>
  <c r="I73" i="134"/>
  <c r="Q73" i="134"/>
  <c r="F31" i="134"/>
  <c r="N31" i="134"/>
  <c r="V31" i="134"/>
  <c r="E31" i="134"/>
  <c r="P52" i="134"/>
  <c r="S52" i="134"/>
  <c r="T52" i="134"/>
  <c r="R52" i="134"/>
  <c r="G52" i="134"/>
  <c r="F52" i="134"/>
  <c r="C52" i="134"/>
  <c r="F51" i="134"/>
  <c r="F53" i="134" s="1"/>
  <c r="F73" i="134"/>
  <c r="N73" i="134"/>
  <c r="V73" i="134"/>
  <c r="D31" i="134"/>
  <c r="L31" i="134"/>
  <c r="T31" i="134"/>
  <c r="E52" i="134"/>
  <c r="E73" i="134"/>
  <c r="M73" i="134"/>
  <c r="U73" i="134"/>
  <c r="G31" i="134"/>
  <c r="O31" i="134"/>
  <c r="G73" i="134"/>
  <c r="O73" i="134"/>
  <c r="H31" i="134"/>
  <c r="P31" i="134"/>
  <c r="O52" i="134"/>
  <c r="W67" i="134"/>
  <c r="W68" i="134" s="1"/>
  <c r="H73" i="134"/>
  <c r="P73" i="134"/>
  <c r="I72" i="134"/>
  <c r="I74" i="134" s="1"/>
  <c r="I31" i="134"/>
  <c r="Q31" i="134"/>
  <c r="J30" i="134"/>
  <c r="J32" i="134" s="1"/>
  <c r="B52" i="134"/>
  <c r="W25" i="134"/>
  <c r="W28" i="134" s="1"/>
  <c r="B31" i="134"/>
  <c r="Q52" i="134"/>
  <c r="B73" i="134"/>
  <c r="J73" i="134"/>
  <c r="R73" i="134"/>
  <c r="Q72" i="134"/>
  <c r="Q74" i="134" s="1"/>
  <c r="C31" i="134"/>
  <c r="K31" i="134"/>
  <c r="S31" i="134"/>
  <c r="R30" i="134"/>
  <c r="R32" i="134" s="1"/>
  <c r="D52" i="134"/>
  <c r="C73" i="134"/>
  <c r="K73" i="134"/>
  <c r="S73" i="134"/>
  <c r="U31" i="134"/>
  <c r="D73" i="134"/>
  <c r="L73" i="134"/>
  <c r="T73" i="134"/>
  <c r="M31" i="134"/>
  <c r="E30" i="134"/>
  <c r="E32" i="134" s="1"/>
  <c r="H46" i="134"/>
  <c r="B70" i="133"/>
  <c r="C70" i="133"/>
  <c r="D70" i="133"/>
  <c r="E70" i="133"/>
  <c r="F70" i="133"/>
  <c r="G70" i="133"/>
  <c r="H70" i="133"/>
  <c r="I70" i="133"/>
  <c r="J70" i="133"/>
  <c r="K70" i="133"/>
  <c r="L70" i="133"/>
  <c r="M70" i="133"/>
  <c r="N70" i="133"/>
  <c r="O70" i="133"/>
  <c r="P70" i="133"/>
  <c r="Q70" i="133"/>
  <c r="R70" i="133"/>
  <c r="S70" i="133"/>
  <c r="T70" i="133"/>
  <c r="U70" i="133"/>
  <c r="V70" i="133"/>
  <c r="V71" i="133"/>
  <c r="U71" i="133"/>
  <c r="T71" i="133"/>
  <c r="S71" i="133"/>
  <c r="R71" i="133"/>
  <c r="Q71" i="133"/>
  <c r="P71" i="133"/>
  <c r="O71" i="133"/>
  <c r="N71" i="133"/>
  <c r="M71" i="133"/>
  <c r="L71" i="133"/>
  <c r="K71" i="133"/>
  <c r="J71" i="133"/>
  <c r="I71" i="133"/>
  <c r="H71" i="133"/>
  <c r="G71" i="133"/>
  <c r="F71" i="133"/>
  <c r="E71" i="133"/>
  <c r="D71" i="133"/>
  <c r="C71" i="133"/>
  <c r="B71" i="133"/>
  <c r="W69" i="133"/>
  <c r="V67" i="133"/>
  <c r="V72" i="133" s="1"/>
  <c r="V74" i="133" s="1"/>
  <c r="U67" i="133"/>
  <c r="T67" i="133"/>
  <c r="T72" i="133" s="1"/>
  <c r="T74" i="133" s="1"/>
  <c r="S67" i="133"/>
  <c r="S72" i="133" s="1"/>
  <c r="S74" i="133" s="1"/>
  <c r="R67" i="133"/>
  <c r="R72" i="133" s="1"/>
  <c r="R74" i="133" s="1"/>
  <c r="Q67" i="133"/>
  <c r="Q72" i="133" s="1"/>
  <c r="Q74" i="133" s="1"/>
  <c r="P67" i="133"/>
  <c r="P72" i="133" s="1"/>
  <c r="P74" i="133" s="1"/>
  <c r="O67" i="133"/>
  <c r="O72" i="133" s="1"/>
  <c r="O74" i="133" s="1"/>
  <c r="N67" i="133"/>
  <c r="N72" i="133" s="1"/>
  <c r="N74" i="133" s="1"/>
  <c r="M67" i="133"/>
  <c r="L67" i="133"/>
  <c r="K67" i="133"/>
  <c r="K72" i="133" s="1"/>
  <c r="K74" i="133" s="1"/>
  <c r="J67" i="133"/>
  <c r="J72" i="133" s="1"/>
  <c r="J74" i="133" s="1"/>
  <c r="I67" i="133"/>
  <c r="I72" i="133" s="1"/>
  <c r="I74" i="133" s="1"/>
  <c r="H67" i="133"/>
  <c r="H72" i="133" s="1"/>
  <c r="H74" i="133" s="1"/>
  <c r="G67" i="133"/>
  <c r="G72" i="133" s="1"/>
  <c r="G74" i="133" s="1"/>
  <c r="F67" i="133"/>
  <c r="F72" i="133" s="1"/>
  <c r="F74" i="133" s="1"/>
  <c r="E67" i="133"/>
  <c r="E72" i="133" s="1"/>
  <c r="E74" i="133" s="1"/>
  <c r="D67" i="133"/>
  <c r="D72" i="133" s="1"/>
  <c r="D74" i="133" s="1"/>
  <c r="C67" i="133"/>
  <c r="C72" i="133" s="1"/>
  <c r="C74" i="133" s="1"/>
  <c r="B67" i="133"/>
  <c r="B72" i="133" s="1"/>
  <c r="B74" i="133" s="1"/>
  <c r="W66" i="133"/>
  <c r="W65" i="133"/>
  <c r="W64" i="133"/>
  <c r="W63" i="133"/>
  <c r="W62" i="133"/>
  <c r="W61" i="133"/>
  <c r="W60" i="133"/>
  <c r="S50" i="133"/>
  <c r="R50" i="133"/>
  <c r="Q50" i="133"/>
  <c r="I50" i="133"/>
  <c r="H50" i="133"/>
  <c r="G50" i="133"/>
  <c r="F50" i="133"/>
  <c r="E50" i="133"/>
  <c r="D50" i="133"/>
  <c r="C50" i="133"/>
  <c r="B50" i="133"/>
  <c r="S49" i="133"/>
  <c r="R49" i="133"/>
  <c r="Q49" i="133"/>
  <c r="I49" i="133"/>
  <c r="H49" i="133"/>
  <c r="G49" i="133"/>
  <c r="F49" i="133"/>
  <c r="E49" i="133"/>
  <c r="D49" i="133"/>
  <c r="C49" i="133"/>
  <c r="B49" i="133"/>
  <c r="J48" i="133"/>
  <c r="S46" i="133"/>
  <c r="R46" i="133"/>
  <c r="R51" i="133" s="1"/>
  <c r="R53" i="133" s="1"/>
  <c r="Q46" i="133"/>
  <c r="Q51" i="133" s="1"/>
  <c r="Q53" i="133" s="1"/>
  <c r="I46" i="133"/>
  <c r="I51" i="133" s="1"/>
  <c r="I53" i="133" s="1"/>
  <c r="H46" i="133"/>
  <c r="H51" i="133" s="1"/>
  <c r="H53" i="133" s="1"/>
  <c r="G46" i="133"/>
  <c r="G51" i="133" s="1"/>
  <c r="G53" i="133" s="1"/>
  <c r="F46" i="133"/>
  <c r="F51" i="133" s="1"/>
  <c r="F53" i="133" s="1"/>
  <c r="E46" i="133"/>
  <c r="E51" i="133" s="1"/>
  <c r="E53" i="133" s="1"/>
  <c r="D46" i="133"/>
  <c r="D51" i="133" s="1"/>
  <c r="D53" i="133" s="1"/>
  <c r="C46" i="133"/>
  <c r="C51" i="133" s="1"/>
  <c r="C53" i="133" s="1"/>
  <c r="B46" i="133"/>
  <c r="B51" i="133" s="1"/>
  <c r="B53" i="133" s="1"/>
  <c r="T45" i="133"/>
  <c r="J45" i="133"/>
  <c r="T44" i="133"/>
  <c r="J44" i="133"/>
  <c r="T43" i="133"/>
  <c r="J43" i="133"/>
  <c r="T42" i="133"/>
  <c r="J42" i="133"/>
  <c r="T41" i="133"/>
  <c r="J41" i="133"/>
  <c r="T40" i="133"/>
  <c r="J40" i="133"/>
  <c r="T39" i="133"/>
  <c r="J39" i="133"/>
  <c r="V29" i="133"/>
  <c r="U29" i="133"/>
  <c r="T29" i="133"/>
  <c r="S29" i="133"/>
  <c r="R29" i="133"/>
  <c r="Q29" i="133"/>
  <c r="P29" i="133"/>
  <c r="O29" i="133"/>
  <c r="N29" i="133"/>
  <c r="M29" i="133"/>
  <c r="L29" i="133"/>
  <c r="K29" i="133"/>
  <c r="J29" i="133"/>
  <c r="I29" i="133"/>
  <c r="H29" i="133"/>
  <c r="G29" i="133"/>
  <c r="F29" i="133"/>
  <c r="E29" i="133"/>
  <c r="D29" i="133"/>
  <c r="C29" i="133"/>
  <c r="B29" i="133"/>
  <c r="V28" i="133"/>
  <c r="U28" i="133"/>
  <c r="T28" i="133"/>
  <c r="S28" i="133"/>
  <c r="R28" i="133"/>
  <c r="Q28" i="133"/>
  <c r="P28" i="133"/>
  <c r="O28" i="133"/>
  <c r="N28" i="133"/>
  <c r="M28" i="133"/>
  <c r="L28" i="133"/>
  <c r="K28" i="133"/>
  <c r="J28" i="133"/>
  <c r="I28" i="133"/>
  <c r="H28" i="133"/>
  <c r="G28" i="133"/>
  <c r="F28" i="133"/>
  <c r="E28" i="133"/>
  <c r="D28" i="133"/>
  <c r="C28" i="133"/>
  <c r="B28" i="133"/>
  <c r="W27" i="133"/>
  <c r="V25" i="133"/>
  <c r="U25" i="133"/>
  <c r="T25" i="133"/>
  <c r="T30" i="133" s="1"/>
  <c r="T32" i="133" s="1"/>
  <c r="S25" i="133"/>
  <c r="S30" i="133" s="1"/>
  <c r="S32" i="133" s="1"/>
  <c r="R25" i="133"/>
  <c r="R30" i="133" s="1"/>
  <c r="R32" i="133" s="1"/>
  <c r="Q25" i="133"/>
  <c r="Q30" i="133" s="1"/>
  <c r="Q32" i="133" s="1"/>
  <c r="P25" i="133"/>
  <c r="P30" i="133" s="1"/>
  <c r="P32" i="133" s="1"/>
  <c r="O25" i="133"/>
  <c r="O30" i="133" s="1"/>
  <c r="O32" i="133" s="1"/>
  <c r="N25" i="133"/>
  <c r="N30" i="133" s="1"/>
  <c r="N32" i="133" s="1"/>
  <c r="M25" i="133"/>
  <c r="M30" i="133" s="1"/>
  <c r="M32" i="133" s="1"/>
  <c r="L25" i="133"/>
  <c r="L30" i="133" s="1"/>
  <c r="L32" i="133" s="1"/>
  <c r="K25" i="133"/>
  <c r="K30" i="133" s="1"/>
  <c r="K32" i="133" s="1"/>
  <c r="J25" i="133"/>
  <c r="J30" i="133" s="1"/>
  <c r="J32" i="133" s="1"/>
  <c r="I25" i="133"/>
  <c r="I30" i="133" s="1"/>
  <c r="I32" i="133" s="1"/>
  <c r="H25" i="133"/>
  <c r="H30" i="133" s="1"/>
  <c r="H32" i="133" s="1"/>
  <c r="G25" i="133"/>
  <c r="G30" i="133" s="1"/>
  <c r="G32" i="133" s="1"/>
  <c r="F25" i="133"/>
  <c r="E25" i="133"/>
  <c r="D25" i="133"/>
  <c r="D30" i="133" s="1"/>
  <c r="D32" i="133" s="1"/>
  <c r="C25" i="133"/>
  <c r="C30" i="133" s="1"/>
  <c r="C32" i="133" s="1"/>
  <c r="B25" i="133"/>
  <c r="B30" i="133" s="1"/>
  <c r="B32" i="133" s="1"/>
  <c r="W24" i="133"/>
  <c r="W23" i="133"/>
  <c r="W22" i="133"/>
  <c r="W21" i="133"/>
  <c r="W20" i="133"/>
  <c r="W19" i="133"/>
  <c r="W18" i="133"/>
  <c r="Q31" i="133" l="1"/>
  <c r="U31" i="133"/>
  <c r="W26" i="134"/>
  <c r="W70" i="134"/>
  <c r="H49" i="134"/>
  <c r="H47" i="134"/>
  <c r="U49" i="134"/>
  <c r="U47" i="134"/>
  <c r="W67" i="133"/>
  <c r="W68" i="133" s="1"/>
  <c r="P31" i="133"/>
  <c r="W25" i="133"/>
  <c r="W28" i="133" s="1"/>
  <c r="B52" i="133"/>
  <c r="H31" i="133"/>
  <c r="I31" i="133"/>
  <c r="E31" i="133"/>
  <c r="F31" i="133"/>
  <c r="V31" i="133"/>
  <c r="L73" i="133"/>
  <c r="M73" i="133"/>
  <c r="U73" i="133"/>
  <c r="F73" i="133"/>
  <c r="N73" i="133"/>
  <c r="V73" i="133"/>
  <c r="G73" i="133"/>
  <c r="O73" i="133"/>
  <c r="H73" i="133"/>
  <c r="P73" i="133"/>
  <c r="I73" i="133"/>
  <c r="Q73" i="133"/>
  <c r="B73" i="133"/>
  <c r="J73" i="133"/>
  <c r="R73" i="133"/>
  <c r="C73" i="133"/>
  <c r="K73" i="133"/>
  <c r="S73" i="133"/>
  <c r="T46" i="133"/>
  <c r="T49" i="133" s="1"/>
  <c r="S52" i="133"/>
  <c r="Q52" i="133"/>
  <c r="F52" i="133"/>
  <c r="E52" i="133"/>
  <c r="G52" i="133"/>
  <c r="I52" i="133"/>
  <c r="H52" i="133"/>
  <c r="D52" i="133"/>
  <c r="C31" i="133"/>
  <c r="L31" i="133"/>
  <c r="G31" i="133"/>
  <c r="O31" i="133"/>
  <c r="B31" i="133"/>
  <c r="J31" i="133"/>
  <c r="R31" i="133"/>
  <c r="S31" i="133"/>
  <c r="K31" i="133"/>
  <c r="D31" i="133"/>
  <c r="T31" i="133"/>
  <c r="M31" i="133"/>
  <c r="T73" i="133"/>
  <c r="C52" i="133"/>
  <c r="R52" i="133"/>
  <c r="D73" i="133"/>
  <c r="E30" i="133"/>
  <c r="E32" i="133" s="1"/>
  <c r="U30" i="133"/>
  <c r="U32" i="133" s="1"/>
  <c r="L72" i="133"/>
  <c r="L74" i="133" s="1"/>
  <c r="N31" i="133"/>
  <c r="E73" i="133"/>
  <c r="F30" i="133"/>
  <c r="F32" i="133" s="1"/>
  <c r="V30" i="133"/>
  <c r="V32" i="133" s="1"/>
  <c r="M72" i="133"/>
  <c r="M74" i="133" s="1"/>
  <c r="U72" i="133"/>
  <c r="U74" i="133" s="1"/>
  <c r="S51" i="133"/>
  <c r="S53" i="133" s="1"/>
  <c r="J46" i="133"/>
  <c r="T47" i="133" l="1"/>
  <c r="W70" i="133"/>
  <c r="W26" i="133"/>
  <c r="J49" i="133"/>
  <c r="J47" i="133"/>
  <c r="V71" i="132"/>
  <c r="U71" i="132"/>
  <c r="T71" i="132"/>
  <c r="S71" i="132"/>
  <c r="R71" i="132"/>
  <c r="Q71" i="132"/>
  <c r="P71" i="132"/>
  <c r="O71" i="132"/>
  <c r="N71" i="132"/>
  <c r="M71" i="132"/>
  <c r="L71" i="132"/>
  <c r="K71" i="132"/>
  <c r="J71" i="132"/>
  <c r="I71" i="132"/>
  <c r="H71" i="132"/>
  <c r="G71" i="132"/>
  <c r="F71" i="132"/>
  <c r="E71" i="132"/>
  <c r="D71" i="132"/>
  <c r="C71" i="132"/>
  <c r="B71" i="132"/>
  <c r="V70" i="132"/>
  <c r="U70" i="132"/>
  <c r="T70" i="132"/>
  <c r="S70" i="132"/>
  <c r="R70" i="132"/>
  <c r="Q70" i="132"/>
  <c r="P70" i="132"/>
  <c r="O70" i="132"/>
  <c r="N70" i="132"/>
  <c r="M70" i="132"/>
  <c r="L70" i="132"/>
  <c r="K70" i="132"/>
  <c r="J70" i="132"/>
  <c r="I70" i="132"/>
  <c r="H70" i="132"/>
  <c r="G70" i="132"/>
  <c r="F70" i="132"/>
  <c r="E70" i="132"/>
  <c r="D70" i="132"/>
  <c r="C70" i="132"/>
  <c r="B70" i="132"/>
  <c r="W69" i="132"/>
  <c r="V67" i="132"/>
  <c r="V72" i="132" s="1"/>
  <c r="V74" i="132" s="1"/>
  <c r="U67" i="132"/>
  <c r="U72" i="132" s="1"/>
  <c r="U74" i="132" s="1"/>
  <c r="T67" i="132"/>
  <c r="S67" i="132"/>
  <c r="S72" i="132" s="1"/>
  <c r="S74" i="132" s="1"/>
  <c r="R67" i="132"/>
  <c r="R72" i="132" s="1"/>
  <c r="R74" i="132" s="1"/>
  <c r="Q67" i="132"/>
  <c r="Q72" i="132" s="1"/>
  <c r="Q74" i="132" s="1"/>
  <c r="P67" i="132"/>
  <c r="P72" i="132" s="1"/>
  <c r="P74" i="132" s="1"/>
  <c r="O67" i="132"/>
  <c r="O72" i="132" s="1"/>
  <c r="O74" i="132" s="1"/>
  <c r="N67" i="132"/>
  <c r="N72" i="132" s="1"/>
  <c r="N74" i="132" s="1"/>
  <c r="M67" i="132"/>
  <c r="M72" i="132" s="1"/>
  <c r="M74" i="132" s="1"/>
  <c r="L67" i="132"/>
  <c r="K67" i="132"/>
  <c r="K72" i="132" s="1"/>
  <c r="K74" i="132" s="1"/>
  <c r="J67" i="132"/>
  <c r="J72" i="132" s="1"/>
  <c r="J74" i="132" s="1"/>
  <c r="I67" i="132"/>
  <c r="I72" i="132" s="1"/>
  <c r="I74" i="132" s="1"/>
  <c r="H67" i="132"/>
  <c r="H72" i="132" s="1"/>
  <c r="H74" i="132" s="1"/>
  <c r="G67" i="132"/>
  <c r="G72" i="132" s="1"/>
  <c r="G74" i="132" s="1"/>
  <c r="F67" i="132"/>
  <c r="F72" i="132" s="1"/>
  <c r="F74" i="132" s="1"/>
  <c r="E67" i="132"/>
  <c r="E72" i="132" s="1"/>
  <c r="E74" i="132" s="1"/>
  <c r="D67" i="132"/>
  <c r="C67" i="132"/>
  <c r="C72" i="132" s="1"/>
  <c r="C74" i="132" s="1"/>
  <c r="B67" i="132"/>
  <c r="B72" i="132" s="1"/>
  <c r="B74" i="132" s="1"/>
  <c r="W66" i="132"/>
  <c r="W65" i="132"/>
  <c r="W64" i="132"/>
  <c r="W63" i="132"/>
  <c r="W62" i="132"/>
  <c r="W61" i="132"/>
  <c r="W60" i="132"/>
  <c r="S50" i="132"/>
  <c r="R50" i="132"/>
  <c r="Q50" i="132"/>
  <c r="I50" i="132"/>
  <c r="H50" i="132"/>
  <c r="G50" i="132"/>
  <c r="F50" i="132"/>
  <c r="E50" i="132"/>
  <c r="D50" i="132"/>
  <c r="C50" i="132"/>
  <c r="B50" i="132"/>
  <c r="S49" i="132"/>
  <c r="R49" i="132"/>
  <c r="Q49" i="132"/>
  <c r="I49" i="132"/>
  <c r="H49" i="132"/>
  <c r="G49" i="132"/>
  <c r="F49" i="132"/>
  <c r="E49" i="132"/>
  <c r="D49" i="132"/>
  <c r="C49" i="132"/>
  <c r="B49" i="132"/>
  <c r="T48" i="132"/>
  <c r="J48" i="132"/>
  <c r="S46" i="132"/>
  <c r="R46" i="132"/>
  <c r="R51" i="132" s="1"/>
  <c r="R53" i="132" s="1"/>
  <c r="Q46" i="132"/>
  <c r="Q51" i="132" s="1"/>
  <c r="Q53" i="132" s="1"/>
  <c r="I46" i="132"/>
  <c r="I51" i="132" s="1"/>
  <c r="I53" i="132" s="1"/>
  <c r="H46" i="132"/>
  <c r="H51" i="132" s="1"/>
  <c r="H53" i="132" s="1"/>
  <c r="G46" i="132"/>
  <c r="G51" i="132" s="1"/>
  <c r="G53" i="132" s="1"/>
  <c r="F46" i="132"/>
  <c r="F51" i="132" s="1"/>
  <c r="F53" i="132" s="1"/>
  <c r="E46" i="132"/>
  <c r="E51" i="132" s="1"/>
  <c r="E53" i="132" s="1"/>
  <c r="D46" i="132"/>
  <c r="D51" i="132" s="1"/>
  <c r="D53" i="132" s="1"/>
  <c r="C46" i="132"/>
  <c r="C51" i="132" s="1"/>
  <c r="C53" i="132" s="1"/>
  <c r="B46" i="132"/>
  <c r="B51" i="132" s="1"/>
  <c r="B53" i="132" s="1"/>
  <c r="T45" i="132"/>
  <c r="J45" i="132"/>
  <c r="T44" i="132"/>
  <c r="J44" i="132"/>
  <c r="T43" i="132"/>
  <c r="J43" i="132"/>
  <c r="T42" i="132"/>
  <c r="J42" i="132"/>
  <c r="T41" i="132"/>
  <c r="J41" i="132"/>
  <c r="T40" i="132"/>
  <c r="J40" i="132"/>
  <c r="T39" i="132"/>
  <c r="J39" i="132"/>
  <c r="V29" i="132"/>
  <c r="U29" i="132"/>
  <c r="T29" i="132"/>
  <c r="S29" i="132"/>
  <c r="R29" i="132"/>
  <c r="Q29" i="132"/>
  <c r="P29" i="132"/>
  <c r="O29" i="132"/>
  <c r="N29" i="132"/>
  <c r="M29" i="132"/>
  <c r="L29" i="132"/>
  <c r="K29" i="132"/>
  <c r="J29" i="132"/>
  <c r="I29" i="132"/>
  <c r="H29" i="132"/>
  <c r="G29" i="132"/>
  <c r="F29" i="132"/>
  <c r="E29" i="132"/>
  <c r="D29" i="132"/>
  <c r="C29" i="132"/>
  <c r="B29" i="132"/>
  <c r="V28" i="132"/>
  <c r="U28" i="132"/>
  <c r="T28" i="132"/>
  <c r="S28" i="132"/>
  <c r="R28" i="132"/>
  <c r="Q28" i="132"/>
  <c r="P28" i="132"/>
  <c r="O28" i="132"/>
  <c r="N28" i="132"/>
  <c r="M28" i="132"/>
  <c r="L28" i="132"/>
  <c r="K28" i="132"/>
  <c r="J28" i="132"/>
  <c r="I28" i="132"/>
  <c r="H28" i="132"/>
  <c r="G28" i="132"/>
  <c r="F28" i="132"/>
  <c r="E28" i="132"/>
  <c r="D28" i="132"/>
  <c r="C28" i="132"/>
  <c r="B28" i="132"/>
  <c r="W27" i="132"/>
  <c r="V25" i="132"/>
  <c r="V30" i="132" s="1"/>
  <c r="V32" i="132" s="1"/>
  <c r="U25" i="132"/>
  <c r="T25" i="132"/>
  <c r="T30" i="132" s="1"/>
  <c r="T32" i="132" s="1"/>
  <c r="S25" i="132"/>
  <c r="S30" i="132" s="1"/>
  <c r="S32" i="132" s="1"/>
  <c r="R25" i="132"/>
  <c r="R30" i="132" s="1"/>
  <c r="R32" i="132" s="1"/>
  <c r="Q25" i="132"/>
  <c r="Q30" i="132" s="1"/>
  <c r="Q32" i="132" s="1"/>
  <c r="P25" i="132"/>
  <c r="P30" i="132" s="1"/>
  <c r="P32" i="132" s="1"/>
  <c r="O25" i="132"/>
  <c r="O30" i="132" s="1"/>
  <c r="O32" i="132" s="1"/>
  <c r="N25" i="132"/>
  <c r="N30" i="132" s="1"/>
  <c r="N32" i="132" s="1"/>
  <c r="M25" i="132"/>
  <c r="M30" i="132" s="1"/>
  <c r="M32" i="132" s="1"/>
  <c r="L25" i="132"/>
  <c r="L30" i="132" s="1"/>
  <c r="L32" i="132" s="1"/>
  <c r="K25" i="132"/>
  <c r="K30" i="132" s="1"/>
  <c r="K32" i="132" s="1"/>
  <c r="J25" i="132"/>
  <c r="J30" i="132" s="1"/>
  <c r="J32" i="132" s="1"/>
  <c r="I25" i="132"/>
  <c r="I30" i="132" s="1"/>
  <c r="I32" i="132" s="1"/>
  <c r="H25" i="132"/>
  <c r="H30" i="132" s="1"/>
  <c r="H32" i="132" s="1"/>
  <c r="G25" i="132"/>
  <c r="G30" i="132" s="1"/>
  <c r="G32" i="132" s="1"/>
  <c r="F25" i="132"/>
  <c r="F30" i="132" s="1"/>
  <c r="F32" i="132" s="1"/>
  <c r="E25" i="132"/>
  <c r="D25" i="132"/>
  <c r="D30" i="132" s="1"/>
  <c r="D32" i="132" s="1"/>
  <c r="C25" i="132"/>
  <c r="C30" i="132" s="1"/>
  <c r="C32" i="132" s="1"/>
  <c r="B25" i="132"/>
  <c r="B30" i="132" s="1"/>
  <c r="B32" i="132" s="1"/>
  <c r="W24" i="132"/>
  <c r="W23" i="132"/>
  <c r="W22" i="132"/>
  <c r="W21" i="132"/>
  <c r="W20" i="132"/>
  <c r="W19" i="132"/>
  <c r="W18" i="132"/>
  <c r="L73" i="132" l="1"/>
  <c r="F73" i="132"/>
  <c r="G73" i="132"/>
  <c r="I52" i="132"/>
  <c r="H73" i="132"/>
  <c r="B73" i="132"/>
  <c r="N73" i="132"/>
  <c r="C73" i="132"/>
  <c r="O73" i="132"/>
  <c r="E52" i="132"/>
  <c r="F52" i="132"/>
  <c r="G52" i="132"/>
  <c r="H52" i="132"/>
  <c r="Q52" i="132"/>
  <c r="E31" i="132"/>
  <c r="R52" i="132"/>
  <c r="T46" i="132"/>
  <c r="T49" i="132" s="1"/>
  <c r="S52" i="132"/>
  <c r="D73" i="132"/>
  <c r="I73" i="132"/>
  <c r="J73" i="132"/>
  <c r="B52" i="132"/>
  <c r="K73" i="132"/>
  <c r="U31" i="132"/>
  <c r="C52" i="132"/>
  <c r="D52" i="132"/>
  <c r="T73" i="132"/>
  <c r="R73" i="132"/>
  <c r="S73" i="132"/>
  <c r="V73" i="132"/>
  <c r="W67" i="132"/>
  <c r="W68" i="132" s="1"/>
  <c r="P73" i="132"/>
  <c r="Q73" i="132"/>
  <c r="G31" i="132"/>
  <c r="O31" i="132"/>
  <c r="P31" i="132"/>
  <c r="H31" i="132"/>
  <c r="I31" i="132"/>
  <c r="Q31" i="132"/>
  <c r="W25" i="132"/>
  <c r="W26" i="132" s="1"/>
  <c r="B31" i="132"/>
  <c r="J31" i="132"/>
  <c r="R31" i="132"/>
  <c r="C31" i="132"/>
  <c r="K31" i="132"/>
  <c r="S31" i="132"/>
  <c r="D31" i="132"/>
  <c r="L31" i="132"/>
  <c r="T31" i="132"/>
  <c r="F31" i="132"/>
  <c r="N31" i="132"/>
  <c r="V31" i="132"/>
  <c r="M31" i="132"/>
  <c r="S51" i="132"/>
  <c r="S53" i="132" s="1"/>
  <c r="E73" i="132"/>
  <c r="M73" i="132"/>
  <c r="U73" i="132"/>
  <c r="E30" i="132"/>
  <c r="E32" i="132" s="1"/>
  <c r="U30" i="132"/>
  <c r="U32" i="132" s="1"/>
  <c r="D72" i="132"/>
  <c r="D74" i="132" s="1"/>
  <c r="L72" i="132"/>
  <c r="L74" i="132" s="1"/>
  <c r="T72" i="132"/>
  <c r="T74" i="132" s="1"/>
  <c r="J46" i="132"/>
  <c r="T47" i="132" l="1"/>
  <c r="W70" i="132"/>
  <c r="W28" i="132"/>
  <c r="J49" i="132"/>
  <c r="J47" i="132"/>
  <c r="V70" i="131"/>
  <c r="U70" i="131"/>
  <c r="T70" i="131"/>
  <c r="S70" i="131"/>
  <c r="R70" i="131"/>
  <c r="Q70" i="131"/>
  <c r="P70" i="131"/>
  <c r="O70" i="131"/>
  <c r="N70" i="131"/>
  <c r="M70" i="131"/>
  <c r="L70" i="131"/>
  <c r="K70" i="131"/>
  <c r="J70" i="131"/>
  <c r="I70" i="131"/>
  <c r="H70" i="131"/>
  <c r="G70" i="131"/>
  <c r="F70" i="131"/>
  <c r="E70" i="131"/>
  <c r="D70" i="131"/>
  <c r="C70" i="131"/>
  <c r="B70" i="131"/>
  <c r="V28" i="131"/>
  <c r="U28" i="131"/>
  <c r="T28" i="131"/>
  <c r="S28" i="131"/>
  <c r="R28" i="131"/>
  <c r="Q28" i="131"/>
  <c r="P28" i="131"/>
  <c r="O28" i="131"/>
  <c r="N28" i="131"/>
  <c r="M28" i="131"/>
  <c r="L28" i="131"/>
  <c r="K28" i="131"/>
  <c r="J28" i="131"/>
  <c r="I28" i="131"/>
  <c r="H28" i="131"/>
  <c r="G28" i="131"/>
  <c r="F28" i="131"/>
  <c r="E28" i="131"/>
  <c r="D28" i="131"/>
  <c r="C28" i="131"/>
  <c r="B28" i="131"/>
  <c r="W60" i="131" l="1"/>
  <c r="V71" i="131" l="1"/>
  <c r="U71" i="131"/>
  <c r="T71" i="131"/>
  <c r="S71" i="131"/>
  <c r="R71" i="131"/>
  <c r="Q71" i="131"/>
  <c r="P71" i="131"/>
  <c r="O71" i="131"/>
  <c r="N71" i="131"/>
  <c r="M71" i="131"/>
  <c r="L71" i="131"/>
  <c r="K71" i="131"/>
  <c r="J71" i="131"/>
  <c r="I71" i="131"/>
  <c r="H71" i="131"/>
  <c r="G71" i="131"/>
  <c r="F71" i="131"/>
  <c r="E71" i="131"/>
  <c r="D71" i="131"/>
  <c r="C71" i="131"/>
  <c r="B71" i="131"/>
  <c r="W69" i="131"/>
  <c r="V67" i="131"/>
  <c r="V72" i="131" s="1"/>
  <c r="V74" i="131" s="1"/>
  <c r="U67" i="131"/>
  <c r="U72" i="131" s="1"/>
  <c r="U74" i="131" s="1"/>
  <c r="T67" i="131"/>
  <c r="T72" i="131" s="1"/>
  <c r="T74" i="131" s="1"/>
  <c r="S67" i="131"/>
  <c r="S72" i="131" s="1"/>
  <c r="S74" i="131" s="1"/>
  <c r="R67" i="131"/>
  <c r="R72" i="131" s="1"/>
  <c r="R74" i="131" s="1"/>
  <c r="Q67" i="131"/>
  <c r="Q72" i="131" s="1"/>
  <c r="Q74" i="131" s="1"/>
  <c r="P67" i="131"/>
  <c r="P72" i="131" s="1"/>
  <c r="P74" i="131" s="1"/>
  <c r="O67" i="131"/>
  <c r="O72" i="131" s="1"/>
  <c r="O74" i="131" s="1"/>
  <c r="N67" i="131"/>
  <c r="N72" i="131" s="1"/>
  <c r="N74" i="131" s="1"/>
  <c r="M67" i="131"/>
  <c r="M72" i="131" s="1"/>
  <c r="M74" i="131" s="1"/>
  <c r="L67" i="131"/>
  <c r="L72" i="131" s="1"/>
  <c r="L74" i="131" s="1"/>
  <c r="K67" i="131"/>
  <c r="K72" i="131" s="1"/>
  <c r="K74" i="131" s="1"/>
  <c r="J67" i="131"/>
  <c r="J72" i="131" s="1"/>
  <c r="J74" i="131" s="1"/>
  <c r="I67" i="131"/>
  <c r="I72" i="131" s="1"/>
  <c r="I74" i="131" s="1"/>
  <c r="H67" i="131"/>
  <c r="H72" i="131" s="1"/>
  <c r="H74" i="131" s="1"/>
  <c r="G67" i="131"/>
  <c r="G72" i="131" s="1"/>
  <c r="G74" i="131" s="1"/>
  <c r="F67" i="131"/>
  <c r="F72" i="131" s="1"/>
  <c r="F74" i="131" s="1"/>
  <c r="E67" i="131"/>
  <c r="E72" i="131" s="1"/>
  <c r="E74" i="131" s="1"/>
  <c r="D67" i="131"/>
  <c r="C67" i="131"/>
  <c r="C72" i="131" s="1"/>
  <c r="C74" i="131" s="1"/>
  <c r="B67" i="131"/>
  <c r="B72" i="131" s="1"/>
  <c r="B74" i="131" s="1"/>
  <c r="W66" i="131"/>
  <c r="W65" i="131"/>
  <c r="W64" i="131"/>
  <c r="W63" i="131"/>
  <c r="W62" i="131"/>
  <c r="W61" i="131"/>
  <c r="J38" i="128"/>
  <c r="S50" i="131"/>
  <c r="R50" i="131"/>
  <c r="Q50" i="131"/>
  <c r="I50" i="131"/>
  <c r="H50" i="131"/>
  <c r="G50" i="131"/>
  <c r="F50" i="131"/>
  <c r="E50" i="131"/>
  <c r="D50" i="131"/>
  <c r="C50" i="131"/>
  <c r="B50" i="131"/>
  <c r="S49" i="131"/>
  <c r="R49" i="131"/>
  <c r="Q49" i="131"/>
  <c r="I49" i="131"/>
  <c r="H49" i="131"/>
  <c r="G49" i="131"/>
  <c r="F49" i="131"/>
  <c r="E49" i="131"/>
  <c r="D49" i="131"/>
  <c r="C49" i="131"/>
  <c r="B49" i="131"/>
  <c r="T48" i="131"/>
  <c r="J48" i="131"/>
  <c r="S46" i="131"/>
  <c r="S51" i="131" s="1"/>
  <c r="S53" i="131" s="1"/>
  <c r="R46" i="131"/>
  <c r="R51" i="131" s="1"/>
  <c r="R53" i="131" s="1"/>
  <c r="Q46" i="131"/>
  <c r="Q51" i="131" s="1"/>
  <c r="Q53" i="131" s="1"/>
  <c r="I46" i="131"/>
  <c r="I51" i="131" s="1"/>
  <c r="I53" i="131" s="1"/>
  <c r="H46" i="131"/>
  <c r="H51" i="131" s="1"/>
  <c r="H53" i="131" s="1"/>
  <c r="G46" i="131"/>
  <c r="G51" i="131" s="1"/>
  <c r="G53" i="131" s="1"/>
  <c r="F46" i="131"/>
  <c r="F51" i="131" s="1"/>
  <c r="F53" i="131" s="1"/>
  <c r="E46" i="131"/>
  <c r="E51" i="131" s="1"/>
  <c r="E53" i="131" s="1"/>
  <c r="D46" i="131"/>
  <c r="D51" i="131" s="1"/>
  <c r="D53" i="131" s="1"/>
  <c r="C46" i="131"/>
  <c r="C51" i="131" s="1"/>
  <c r="C53" i="131" s="1"/>
  <c r="B46" i="131"/>
  <c r="B51" i="131" s="1"/>
  <c r="B53" i="131" s="1"/>
  <c r="T45" i="131"/>
  <c r="J45" i="131"/>
  <c r="T44" i="131"/>
  <c r="J44" i="131"/>
  <c r="T43" i="131"/>
  <c r="J43" i="131"/>
  <c r="T42" i="131"/>
  <c r="J42" i="131"/>
  <c r="T41" i="131"/>
  <c r="J41" i="131"/>
  <c r="T40" i="131"/>
  <c r="J40" i="131"/>
  <c r="T39" i="131"/>
  <c r="J39" i="131"/>
  <c r="V29" i="131"/>
  <c r="U29" i="131"/>
  <c r="T29" i="131"/>
  <c r="S29" i="131"/>
  <c r="R29" i="131"/>
  <c r="Q29" i="131"/>
  <c r="P29" i="131"/>
  <c r="O29" i="131"/>
  <c r="N29" i="131"/>
  <c r="M29" i="131"/>
  <c r="L29" i="131"/>
  <c r="K29" i="131"/>
  <c r="J29" i="131"/>
  <c r="I29" i="131"/>
  <c r="H29" i="131"/>
  <c r="G29" i="131"/>
  <c r="F29" i="131"/>
  <c r="E29" i="131"/>
  <c r="D29" i="131"/>
  <c r="C29" i="131"/>
  <c r="B29" i="131"/>
  <c r="W27" i="131"/>
  <c r="V25" i="131"/>
  <c r="V30" i="131" s="1"/>
  <c r="V32" i="131" s="1"/>
  <c r="U25" i="131"/>
  <c r="U30" i="131" s="1"/>
  <c r="U32" i="131" s="1"/>
  <c r="T25" i="131"/>
  <c r="S25" i="131"/>
  <c r="S30" i="131" s="1"/>
  <c r="S32" i="131" s="1"/>
  <c r="R25" i="131"/>
  <c r="R30" i="131" s="1"/>
  <c r="R32" i="131" s="1"/>
  <c r="Q25" i="131"/>
  <c r="Q30" i="131" s="1"/>
  <c r="Q32" i="131" s="1"/>
  <c r="P25" i="131"/>
  <c r="O25" i="131"/>
  <c r="N25" i="131"/>
  <c r="N30" i="131" s="1"/>
  <c r="N32" i="131" s="1"/>
  <c r="M25" i="131"/>
  <c r="M30" i="131" s="1"/>
  <c r="M32" i="131" s="1"/>
  <c r="L25" i="131"/>
  <c r="L30" i="131" s="1"/>
  <c r="L32" i="131" s="1"/>
  <c r="K25" i="131"/>
  <c r="K30" i="131" s="1"/>
  <c r="K32" i="131" s="1"/>
  <c r="J25" i="131"/>
  <c r="J30" i="131" s="1"/>
  <c r="J32" i="131" s="1"/>
  <c r="I25" i="131"/>
  <c r="I30" i="131" s="1"/>
  <c r="I32" i="131" s="1"/>
  <c r="H25" i="131"/>
  <c r="H30" i="131" s="1"/>
  <c r="H32" i="131" s="1"/>
  <c r="G25" i="131"/>
  <c r="G30" i="131" s="1"/>
  <c r="G32" i="131" s="1"/>
  <c r="F25" i="131"/>
  <c r="F30" i="131" s="1"/>
  <c r="F32" i="131" s="1"/>
  <c r="E25" i="131"/>
  <c r="E30" i="131" s="1"/>
  <c r="E32" i="131" s="1"/>
  <c r="D25" i="131"/>
  <c r="C25" i="131"/>
  <c r="B25" i="131"/>
  <c r="B30" i="131" s="1"/>
  <c r="B32" i="131" s="1"/>
  <c r="W24" i="131"/>
  <c r="W23" i="131"/>
  <c r="W22" i="131"/>
  <c r="W21" i="131"/>
  <c r="W20" i="131"/>
  <c r="W19" i="131"/>
  <c r="W18" i="131"/>
  <c r="N73" i="131" l="1"/>
  <c r="V73" i="131"/>
  <c r="D73" i="131"/>
  <c r="I52" i="131"/>
  <c r="H73" i="131"/>
  <c r="G52" i="131"/>
  <c r="R73" i="131"/>
  <c r="K73" i="131"/>
  <c r="T31" i="131"/>
  <c r="H52" i="131"/>
  <c r="Q73" i="131"/>
  <c r="T46" i="131"/>
  <c r="T47" i="131" s="1"/>
  <c r="R52" i="131"/>
  <c r="L73" i="131"/>
  <c r="S52" i="131"/>
  <c r="E73" i="131"/>
  <c r="M73" i="131"/>
  <c r="U73" i="131"/>
  <c r="W67" i="131"/>
  <c r="W68" i="131" s="1"/>
  <c r="P73" i="131"/>
  <c r="T73" i="131"/>
  <c r="S73" i="131"/>
  <c r="O73" i="131"/>
  <c r="J73" i="131"/>
  <c r="I73" i="131"/>
  <c r="G73" i="131"/>
  <c r="F73" i="131"/>
  <c r="D72" i="131"/>
  <c r="D74" i="131" s="1"/>
  <c r="C73" i="131"/>
  <c r="B73" i="131"/>
  <c r="I31" i="131"/>
  <c r="B31" i="131"/>
  <c r="V31" i="131"/>
  <c r="U31" i="131"/>
  <c r="P31" i="131"/>
  <c r="C52" i="131"/>
  <c r="T30" i="131"/>
  <c r="T32" i="131" s="1"/>
  <c r="D52" i="131"/>
  <c r="E52" i="131"/>
  <c r="F52" i="131"/>
  <c r="B52" i="131"/>
  <c r="R31" i="131"/>
  <c r="Q31" i="131"/>
  <c r="S31" i="131"/>
  <c r="Q52" i="131"/>
  <c r="L31" i="131"/>
  <c r="K31" i="131"/>
  <c r="J31" i="131"/>
  <c r="M31" i="131"/>
  <c r="N31" i="131"/>
  <c r="O31" i="131"/>
  <c r="E31" i="131"/>
  <c r="W25" i="131"/>
  <c r="W28" i="131" s="1"/>
  <c r="F31" i="131"/>
  <c r="G31" i="131"/>
  <c r="H31" i="131"/>
  <c r="D31" i="131"/>
  <c r="C31" i="131"/>
  <c r="C30" i="131"/>
  <c r="C32" i="131" s="1"/>
  <c r="O30" i="131"/>
  <c r="O32" i="131" s="1"/>
  <c r="J46" i="131"/>
  <c r="D30" i="131"/>
  <c r="D32" i="131" s="1"/>
  <c r="P30" i="131"/>
  <c r="P32" i="131" s="1"/>
  <c r="T49" i="131" l="1"/>
  <c r="W70" i="131"/>
  <c r="W26" i="131"/>
  <c r="J47" i="131"/>
  <c r="J49" i="131"/>
  <c r="U42" i="130" l="1"/>
  <c r="U43" i="130"/>
  <c r="U44" i="130"/>
  <c r="V44" i="130" s="1"/>
  <c r="U41" i="130"/>
  <c r="U40" i="130" l="1"/>
  <c r="T49" i="130"/>
  <c r="T48" i="130"/>
  <c r="T45" i="130"/>
  <c r="T50" i="130" s="1"/>
  <c r="T52" i="130" s="1"/>
  <c r="U47" i="130"/>
  <c r="F70" i="130"/>
  <c r="E70" i="130"/>
  <c r="D70" i="130"/>
  <c r="C70" i="130"/>
  <c r="B70" i="130"/>
  <c r="F69" i="130"/>
  <c r="E69" i="130"/>
  <c r="D69" i="130"/>
  <c r="C69" i="130"/>
  <c r="B69" i="130"/>
  <c r="G68" i="130"/>
  <c r="F66" i="130"/>
  <c r="F71" i="130" s="1"/>
  <c r="F73" i="130" s="1"/>
  <c r="E66" i="130"/>
  <c r="D66" i="130"/>
  <c r="D71" i="130" s="1"/>
  <c r="D73" i="130" s="1"/>
  <c r="C66" i="130"/>
  <c r="B66" i="130"/>
  <c r="G65" i="130"/>
  <c r="G64" i="130"/>
  <c r="G63" i="130"/>
  <c r="G62" i="130"/>
  <c r="G61" i="130"/>
  <c r="G60" i="130"/>
  <c r="G59" i="130"/>
  <c r="S49" i="130"/>
  <c r="R49" i="130"/>
  <c r="Q49" i="130"/>
  <c r="I49" i="130"/>
  <c r="H49" i="130"/>
  <c r="G49" i="130"/>
  <c r="F49" i="130"/>
  <c r="E49" i="130"/>
  <c r="D49" i="130"/>
  <c r="C49" i="130"/>
  <c r="B49" i="130"/>
  <c r="S48" i="130"/>
  <c r="R48" i="130"/>
  <c r="Q48" i="130"/>
  <c r="I48" i="130"/>
  <c r="H48" i="130"/>
  <c r="G48" i="130"/>
  <c r="F48" i="130"/>
  <c r="E48" i="130"/>
  <c r="D48" i="130"/>
  <c r="C48" i="130"/>
  <c r="B48" i="130"/>
  <c r="J47" i="130"/>
  <c r="S45" i="130"/>
  <c r="S50" i="130" s="1"/>
  <c r="S52" i="130" s="1"/>
  <c r="R45" i="130"/>
  <c r="R50" i="130" s="1"/>
  <c r="R52" i="130" s="1"/>
  <c r="Q45" i="130"/>
  <c r="Q50" i="130" s="1"/>
  <c r="Q52" i="130" s="1"/>
  <c r="I45" i="130"/>
  <c r="I50" i="130" s="1"/>
  <c r="I52" i="130" s="1"/>
  <c r="H45" i="130"/>
  <c r="H50" i="130" s="1"/>
  <c r="H52" i="130" s="1"/>
  <c r="G45" i="130"/>
  <c r="G50" i="130" s="1"/>
  <c r="G52" i="130" s="1"/>
  <c r="F45" i="130"/>
  <c r="F50" i="130" s="1"/>
  <c r="F52" i="130" s="1"/>
  <c r="E45" i="130"/>
  <c r="E50" i="130" s="1"/>
  <c r="E52" i="130" s="1"/>
  <c r="D45" i="130"/>
  <c r="D50" i="130" s="1"/>
  <c r="D52" i="130" s="1"/>
  <c r="C45" i="130"/>
  <c r="C50" i="130" s="1"/>
  <c r="C52" i="130" s="1"/>
  <c r="B45" i="130"/>
  <c r="B50" i="130" s="1"/>
  <c r="B52" i="130" s="1"/>
  <c r="J44" i="130"/>
  <c r="J43" i="130"/>
  <c r="J42" i="130"/>
  <c r="J41" i="130"/>
  <c r="J40" i="130"/>
  <c r="U39" i="130"/>
  <c r="J39" i="130"/>
  <c r="U38" i="130"/>
  <c r="J38" i="130"/>
  <c r="Z29" i="130"/>
  <c r="Y29" i="130"/>
  <c r="X29" i="130"/>
  <c r="W29" i="130"/>
  <c r="V29" i="130"/>
  <c r="U29" i="130"/>
  <c r="T29" i="130"/>
  <c r="S29" i="130"/>
  <c r="R29" i="130"/>
  <c r="Q29" i="130"/>
  <c r="P29" i="130"/>
  <c r="O29" i="130"/>
  <c r="N29" i="130"/>
  <c r="M29" i="130"/>
  <c r="L29" i="130"/>
  <c r="K29" i="130"/>
  <c r="J29" i="130"/>
  <c r="I29" i="130"/>
  <c r="H29" i="130"/>
  <c r="G29" i="130"/>
  <c r="F29" i="130"/>
  <c r="E29" i="130"/>
  <c r="D29" i="130"/>
  <c r="C29" i="130"/>
  <c r="B29" i="130"/>
  <c r="Z28" i="130"/>
  <c r="Y28" i="130"/>
  <c r="X28" i="130"/>
  <c r="W28" i="130"/>
  <c r="V28" i="130"/>
  <c r="U28" i="130"/>
  <c r="T28" i="130"/>
  <c r="S28" i="130"/>
  <c r="R28" i="130"/>
  <c r="Q28" i="130"/>
  <c r="P28" i="130"/>
  <c r="O28" i="130"/>
  <c r="N28" i="130"/>
  <c r="M28" i="130"/>
  <c r="L28" i="130"/>
  <c r="K28" i="130"/>
  <c r="J28" i="130"/>
  <c r="I28" i="130"/>
  <c r="H28" i="130"/>
  <c r="G28" i="130"/>
  <c r="F28" i="130"/>
  <c r="E28" i="130"/>
  <c r="D28" i="130"/>
  <c r="C28" i="130"/>
  <c r="B28" i="130"/>
  <c r="AA27" i="130"/>
  <c r="Z25" i="130"/>
  <c r="Z30" i="130" s="1"/>
  <c r="Z32" i="130" s="1"/>
  <c r="Y25" i="130"/>
  <c r="Y30" i="130" s="1"/>
  <c r="Y32" i="130" s="1"/>
  <c r="X25" i="130"/>
  <c r="X30" i="130" s="1"/>
  <c r="X32" i="130" s="1"/>
  <c r="W25" i="130"/>
  <c r="W30" i="130" s="1"/>
  <c r="W32" i="130" s="1"/>
  <c r="V25" i="130"/>
  <c r="V30" i="130" s="1"/>
  <c r="V32" i="130" s="1"/>
  <c r="U25" i="130"/>
  <c r="U30" i="130" s="1"/>
  <c r="U32" i="130" s="1"/>
  <c r="T25" i="130"/>
  <c r="T30" i="130" s="1"/>
  <c r="T32" i="130" s="1"/>
  <c r="S25" i="130"/>
  <c r="S30" i="130" s="1"/>
  <c r="S32" i="130" s="1"/>
  <c r="R25" i="130"/>
  <c r="R30" i="130" s="1"/>
  <c r="R32" i="130" s="1"/>
  <c r="Q25" i="130"/>
  <c r="Q30" i="130" s="1"/>
  <c r="Q32" i="130" s="1"/>
  <c r="P25" i="130"/>
  <c r="P30" i="130" s="1"/>
  <c r="P32" i="130" s="1"/>
  <c r="O25" i="130"/>
  <c r="N25" i="130"/>
  <c r="N30" i="130" s="1"/>
  <c r="N32" i="130" s="1"/>
  <c r="M25" i="130"/>
  <c r="M30" i="130" s="1"/>
  <c r="M32" i="130" s="1"/>
  <c r="L25" i="130"/>
  <c r="L30" i="130" s="1"/>
  <c r="L32" i="130" s="1"/>
  <c r="K25" i="130"/>
  <c r="K30" i="130" s="1"/>
  <c r="K32" i="130" s="1"/>
  <c r="J25" i="130"/>
  <c r="J30" i="130" s="1"/>
  <c r="J32" i="130" s="1"/>
  <c r="I25" i="130"/>
  <c r="I30" i="130" s="1"/>
  <c r="I32" i="130" s="1"/>
  <c r="H25" i="130"/>
  <c r="H30" i="130" s="1"/>
  <c r="H32" i="130" s="1"/>
  <c r="G25" i="130"/>
  <c r="G30" i="130" s="1"/>
  <c r="G32" i="130" s="1"/>
  <c r="F25" i="130"/>
  <c r="F30" i="130" s="1"/>
  <c r="F32" i="130" s="1"/>
  <c r="E25" i="130"/>
  <c r="E30" i="130" s="1"/>
  <c r="E32" i="130" s="1"/>
  <c r="D25" i="130"/>
  <c r="D30" i="130" s="1"/>
  <c r="D32" i="130" s="1"/>
  <c r="C25" i="130"/>
  <c r="C30" i="130" s="1"/>
  <c r="C32" i="130" s="1"/>
  <c r="B25" i="130"/>
  <c r="B30" i="130" s="1"/>
  <c r="B32" i="130" s="1"/>
  <c r="AA24" i="130"/>
  <c r="AB24" i="130" s="1"/>
  <c r="AA23" i="130"/>
  <c r="AA22" i="130"/>
  <c r="AA21" i="130"/>
  <c r="AA20" i="130"/>
  <c r="AA19" i="130"/>
  <c r="AA18" i="130"/>
  <c r="Z14" i="129"/>
  <c r="V31" i="130" l="1"/>
  <c r="F31" i="130"/>
  <c r="U31" i="130"/>
  <c r="R51" i="130"/>
  <c r="S51" i="130"/>
  <c r="Q51" i="130"/>
  <c r="G31" i="130"/>
  <c r="W31" i="130"/>
  <c r="H31" i="130"/>
  <c r="X31" i="130"/>
  <c r="B72" i="130"/>
  <c r="I31" i="130"/>
  <c r="Y31" i="130"/>
  <c r="C72" i="130"/>
  <c r="AA25" i="130"/>
  <c r="AA26" i="130" s="1"/>
  <c r="E31" i="130"/>
  <c r="E72" i="130"/>
  <c r="O31" i="130"/>
  <c r="I51" i="130"/>
  <c r="T51" i="130"/>
  <c r="B51" i="130"/>
  <c r="Z31" i="130"/>
  <c r="N31" i="130"/>
  <c r="C51" i="130"/>
  <c r="D51" i="130"/>
  <c r="O30" i="130"/>
  <c r="O32" i="130" s="1"/>
  <c r="K31" i="130"/>
  <c r="L31" i="130"/>
  <c r="P31" i="130"/>
  <c r="Q31" i="130"/>
  <c r="B31" i="130"/>
  <c r="R31" i="130"/>
  <c r="C31" i="130"/>
  <c r="S31" i="130"/>
  <c r="D31" i="130"/>
  <c r="T31" i="130"/>
  <c r="J31" i="130"/>
  <c r="M31" i="130"/>
  <c r="G51" i="130"/>
  <c r="H51" i="130"/>
  <c r="D72" i="130"/>
  <c r="G66" i="130"/>
  <c r="G67" i="130" s="1"/>
  <c r="F72" i="130"/>
  <c r="B71" i="130"/>
  <c r="B73" i="130" s="1"/>
  <c r="C71" i="130"/>
  <c r="C73" i="130" s="1"/>
  <c r="E51" i="130"/>
  <c r="E71" i="130"/>
  <c r="E73" i="130" s="1"/>
  <c r="J45" i="130"/>
  <c r="F51" i="130"/>
  <c r="U45" i="130"/>
  <c r="C33" i="127"/>
  <c r="D33" i="127"/>
  <c r="E33" i="127"/>
  <c r="F33" i="127"/>
  <c r="G33" i="127"/>
  <c r="H33" i="127"/>
  <c r="I33" i="127"/>
  <c r="J33" i="127"/>
  <c r="K33" i="127"/>
  <c r="L33" i="127"/>
  <c r="M33" i="127"/>
  <c r="N33" i="127"/>
  <c r="O33" i="127"/>
  <c r="P33" i="127"/>
  <c r="Q33" i="127"/>
  <c r="R33" i="127"/>
  <c r="S33" i="127"/>
  <c r="T33" i="127"/>
  <c r="U33" i="127"/>
  <c r="V33" i="127"/>
  <c r="W33" i="127"/>
  <c r="X33" i="127"/>
  <c r="Y33" i="127"/>
  <c r="Z33" i="127"/>
  <c r="B33" i="127"/>
  <c r="F70" i="129"/>
  <c r="E70" i="129"/>
  <c r="D70" i="129"/>
  <c r="C70" i="129"/>
  <c r="B70" i="129"/>
  <c r="F69" i="129"/>
  <c r="E69" i="129"/>
  <c r="D69" i="129"/>
  <c r="C69" i="129"/>
  <c r="B69" i="129"/>
  <c r="G68" i="129"/>
  <c r="F66" i="129"/>
  <c r="F71" i="129" s="1"/>
  <c r="F73" i="129" s="1"/>
  <c r="E66" i="129"/>
  <c r="E71" i="129" s="1"/>
  <c r="E73" i="129" s="1"/>
  <c r="D66" i="129"/>
  <c r="D71" i="129" s="1"/>
  <c r="D73" i="129" s="1"/>
  <c r="C66" i="129"/>
  <c r="C71" i="129" s="1"/>
  <c r="C73" i="129" s="1"/>
  <c r="B66" i="129"/>
  <c r="B71" i="129" s="1"/>
  <c r="B73" i="129" s="1"/>
  <c r="G65" i="129"/>
  <c r="G64" i="129"/>
  <c r="G63" i="129"/>
  <c r="G62" i="129"/>
  <c r="G61" i="129"/>
  <c r="G60" i="129"/>
  <c r="G59" i="129"/>
  <c r="S49" i="129"/>
  <c r="R49" i="129"/>
  <c r="Q49" i="129"/>
  <c r="I49" i="129"/>
  <c r="H49" i="129"/>
  <c r="G49" i="129"/>
  <c r="F49" i="129"/>
  <c r="E49" i="129"/>
  <c r="D49" i="129"/>
  <c r="C49" i="129"/>
  <c r="B49" i="129"/>
  <c r="S48" i="129"/>
  <c r="R48" i="129"/>
  <c r="Q48" i="129"/>
  <c r="I48" i="129"/>
  <c r="H48" i="129"/>
  <c r="G48" i="129"/>
  <c r="F48" i="129"/>
  <c r="E48" i="129"/>
  <c r="D48" i="129"/>
  <c r="C48" i="129"/>
  <c r="B48" i="129"/>
  <c r="T47" i="129"/>
  <c r="J47" i="129"/>
  <c r="S45" i="129"/>
  <c r="S50" i="129" s="1"/>
  <c r="S52" i="129" s="1"/>
  <c r="R45" i="129"/>
  <c r="R50" i="129" s="1"/>
  <c r="R52" i="129" s="1"/>
  <c r="Q45" i="129"/>
  <c r="Q50" i="129" s="1"/>
  <c r="Q52" i="129" s="1"/>
  <c r="I45" i="129"/>
  <c r="I50" i="129" s="1"/>
  <c r="I52" i="129" s="1"/>
  <c r="H45" i="129"/>
  <c r="H50" i="129" s="1"/>
  <c r="H52" i="129" s="1"/>
  <c r="G45" i="129"/>
  <c r="G50" i="129" s="1"/>
  <c r="G52" i="129" s="1"/>
  <c r="F45" i="129"/>
  <c r="F50" i="129" s="1"/>
  <c r="F52" i="129" s="1"/>
  <c r="E45" i="129"/>
  <c r="E50" i="129" s="1"/>
  <c r="E52" i="129" s="1"/>
  <c r="D45" i="129"/>
  <c r="D50" i="129" s="1"/>
  <c r="D52" i="129" s="1"/>
  <c r="C45" i="129"/>
  <c r="C50" i="129" s="1"/>
  <c r="C52" i="129" s="1"/>
  <c r="B45" i="129"/>
  <c r="T44" i="129"/>
  <c r="J44" i="129"/>
  <c r="T43" i="129"/>
  <c r="J43" i="129"/>
  <c r="T42" i="129"/>
  <c r="J42" i="129"/>
  <c r="T41" i="129"/>
  <c r="J41" i="129"/>
  <c r="T40" i="129"/>
  <c r="J40" i="129"/>
  <c r="T39" i="129"/>
  <c r="J39" i="129"/>
  <c r="T38" i="129"/>
  <c r="J38" i="129"/>
  <c r="Z29" i="129"/>
  <c r="Y29" i="129"/>
  <c r="X29" i="129"/>
  <c r="W29" i="129"/>
  <c r="V29" i="129"/>
  <c r="U29" i="129"/>
  <c r="T29" i="129"/>
  <c r="S29" i="129"/>
  <c r="R29" i="129"/>
  <c r="Q29" i="129"/>
  <c r="P29" i="129"/>
  <c r="O29" i="129"/>
  <c r="N29" i="129"/>
  <c r="M29" i="129"/>
  <c r="L29" i="129"/>
  <c r="K29" i="129"/>
  <c r="J29" i="129"/>
  <c r="I29" i="129"/>
  <c r="H29" i="129"/>
  <c r="G29" i="129"/>
  <c r="F29" i="129"/>
  <c r="E29" i="129"/>
  <c r="D29" i="129"/>
  <c r="C29" i="129"/>
  <c r="B29" i="129"/>
  <c r="Z28" i="129"/>
  <c r="Y28" i="129"/>
  <c r="X28" i="129"/>
  <c r="W28" i="129"/>
  <c r="V28" i="129"/>
  <c r="U28" i="129"/>
  <c r="T28" i="129"/>
  <c r="S28" i="129"/>
  <c r="R28" i="129"/>
  <c r="Q28" i="129"/>
  <c r="P28" i="129"/>
  <c r="O28" i="129"/>
  <c r="N28" i="129"/>
  <c r="M28" i="129"/>
  <c r="L28" i="129"/>
  <c r="K28" i="129"/>
  <c r="J28" i="129"/>
  <c r="I28" i="129"/>
  <c r="H28" i="129"/>
  <c r="G28" i="129"/>
  <c r="F28" i="129"/>
  <c r="E28" i="129"/>
  <c r="D28" i="129"/>
  <c r="C28" i="129"/>
  <c r="B28" i="129"/>
  <c r="AA27" i="129"/>
  <c r="Z25" i="129"/>
  <c r="Y25" i="129"/>
  <c r="Y30" i="129" s="1"/>
  <c r="Y32" i="129" s="1"/>
  <c r="X25" i="129"/>
  <c r="X30" i="129" s="1"/>
  <c r="X32" i="129" s="1"/>
  <c r="W25" i="129"/>
  <c r="W30" i="129" s="1"/>
  <c r="W32" i="129" s="1"/>
  <c r="V25" i="129"/>
  <c r="V30" i="129" s="1"/>
  <c r="V32" i="129" s="1"/>
  <c r="U25" i="129"/>
  <c r="U30" i="129" s="1"/>
  <c r="U32" i="129" s="1"/>
  <c r="T25" i="129"/>
  <c r="S25" i="129"/>
  <c r="S30" i="129" s="1"/>
  <c r="S32" i="129" s="1"/>
  <c r="R25" i="129"/>
  <c r="Q25" i="129"/>
  <c r="Q30" i="129" s="1"/>
  <c r="Q32" i="129" s="1"/>
  <c r="P25" i="129"/>
  <c r="P30" i="129" s="1"/>
  <c r="P32" i="129" s="1"/>
  <c r="O25" i="129"/>
  <c r="O30" i="129" s="1"/>
  <c r="O32" i="129" s="1"/>
  <c r="N25" i="129"/>
  <c r="N30" i="129" s="1"/>
  <c r="N32" i="129" s="1"/>
  <c r="M25" i="129"/>
  <c r="M30" i="129" s="1"/>
  <c r="M32" i="129" s="1"/>
  <c r="L25" i="129"/>
  <c r="K25" i="129"/>
  <c r="K30" i="129" s="1"/>
  <c r="K32" i="129" s="1"/>
  <c r="J25" i="129"/>
  <c r="I25" i="129"/>
  <c r="I30" i="129" s="1"/>
  <c r="I32" i="129" s="1"/>
  <c r="H25" i="129"/>
  <c r="H30" i="129" s="1"/>
  <c r="H32" i="129" s="1"/>
  <c r="G25" i="129"/>
  <c r="G30" i="129" s="1"/>
  <c r="G32" i="129" s="1"/>
  <c r="F25" i="129"/>
  <c r="F30" i="129" s="1"/>
  <c r="F32" i="129" s="1"/>
  <c r="E25" i="129"/>
  <c r="E30" i="129" s="1"/>
  <c r="E32" i="129" s="1"/>
  <c r="D25" i="129"/>
  <c r="C25" i="129"/>
  <c r="C30" i="129" s="1"/>
  <c r="C32" i="129" s="1"/>
  <c r="B25" i="129"/>
  <c r="AA24" i="129"/>
  <c r="AA23" i="129"/>
  <c r="AA22" i="129"/>
  <c r="AA21" i="129"/>
  <c r="AA20" i="129"/>
  <c r="AA19" i="129"/>
  <c r="AA18" i="129"/>
  <c r="B31" i="129" l="1"/>
  <c r="D31" i="129"/>
  <c r="D72" i="129"/>
  <c r="G51" i="129"/>
  <c r="H51" i="129"/>
  <c r="I51" i="129"/>
  <c r="E72" i="129"/>
  <c r="F72" i="129"/>
  <c r="AA28" i="130"/>
  <c r="G69" i="130"/>
  <c r="U48" i="130"/>
  <c r="U46" i="130"/>
  <c r="J46" i="130"/>
  <c r="J48" i="130"/>
  <c r="E51" i="129"/>
  <c r="F51" i="129"/>
  <c r="D51" i="129"/>
  <c r="J45" i="129"/>
  <c r="J48" i="129" s="1"/>
  <c r="L31" i="129"/>
  <c r="S51" i="129"/>
  <c r="B50" i="129"/>
  <c r="B52" i="129" s="1"/>
  <c r="G66" i="129"/>
  <c r="G67" i="129" s="1"/>
  <c r="T31" i="129"/>
  <c r="AA25" i="129"/>
  <c r="AA28" i="129" s="1"/>
  <c r="G31" i="129"/>
  <c r="O31" i="129"/>
  <c r="W31" i="129"/>
  <c r="H31" i="129"/>
  <c r="P31" i="129"/>
  <c r="X31" i="129"/>
  <c r="L30" i="129"/>
  <c r="L32" i="129" s="1"/>
  <c r="I31" i="129"/>
  <c r="Q31" i="129"/>
  <c r="Y31" i="129"/>
  <c r="D30" i="129"/>
  <c r="D32" i="129" s="1"/>
  <c r="E31" i="129"/>
  <c r="M31" i="129"/>
  <c r="U31" i="129"/>
  <c r="T30" i="129"/>
  <c r="T32" i="129" s="1"/>
  <c r="F31" i="129"/>
  <c r="N31" i="129"/>
  <c r="V31" i="129"/>
  <c r="J31" i="129"/>
  <c r="R31" i="129"/>
  <c r="Z31" i="129"/>
  <c r="J46" i="129"/>
  <c r="C31" i="129"/>
  <c r="K31" i="129"/>
  <c r="S31" i="129"/>
  <c r="B72" i="129"/>
  <c r="C72" i="129"/>
  <c r="Q51" i="129"/>
  <c r="C51" i="129"/>
  <c r="T45" i="129"/>
  <c r="B51" i="129"/>
  <c r="R51" i="129"/>
  <c r="B30" i="129"/>
  <c r="B32" i="129" s="1"/>
  <c r="J30" i="129"/>
  <c r="J32" i="129" s="1"/>
  <c r="R30" i="129"/>
  <c r="R32" i="129" s="1"/>
  <c r="Z30" i="129"/>
  <c r="Z32" i="129" s="1"/>
  <c r="G69" i="129" l="1"/>
  <c r="AA26" i="129"/>
  <c r="T48" i="129"/>
  <c r="T46" i="129"/>
  <c r="B69" i="128" l="1"/>
  <c r="AA19" i="128"/>
  <c r="AA20" i="128"/>
  <c r="E28" i="128"/>
  <c r="F28" i="128"/>
  <c r="G28" i="128"/>
  <c r="H28" i="128"/>
  <c r="I28" i="128"/>
  <c r="J28" i="128"/>
  <c r="K28" i="128"/>
  <c r="L28" i="128"/>
  <c r="M28" i="128"/>
  <c r="N28" i="128"/>
  <c r="O28" i="128"/>
  <c r="P28" i="128"/>
  <c r="Q28" i="128"/>
  <c r="R28" i="128"/>
  <c r="S28" i="128"/>
  <c r="T28" i="128"/>
  <c r="U28" i="128"/>
  <c r="V28" i="128"/>
  <c r="W28" i="128"/>
  <c r="X28" i="128"/>
  <c r="Y28" i="128"/>
  <c r="Z28" i="128"/>
  <c r="C28" i="128"/>
  <c r="D28" i="128"/>
  <c r="B28" i="128"/>
  <c r="F70" i="128"/>
  <c r="E70" i="128"/>
  <c r="D70" i="128"/>
  <c r="C70" i="128"/>
  <c r="B70" i="128"/>
  <c r="F69" i="128"/>
  <c r="E69" i="128"/>
  <c r="D69" i="128"/>
  <c r="C69" i="128"/>
  <c r="G68" i="128"/>
  <c r="F66" i="128"/>
  <c r="E66" i="128"/>
  <c r="D66" i="128"/>
  <c r="D71" i="128" s="1"/>
  <c r="D73" i="128" s="1"/>
  <c r="C66" i="128"/>
  <c r="B66" i="128"/>
  <c r="B71" i="128" s="1"/>
  <c r="B73" i="128" s="1"/>
  <c r="G65" i="128"/>
  <c r="G64" i="128"/>
  <c r="G63" i="128"/>
  <c r="G62" i="128"/>
  <c r="G61" i="128"/>
  <c r="G60" i="128"/>
  <c r="G59" i="128"/>
  <c r="S49" i="128"/>
  <c r="R49" i="128"/>
  <c r="Q49" i="128"/>
  <c r="I49" i="128"/>
  <c r="H49" i="128"/>
  <c r="G49" i="128"/>
  <c r="F49" i="128"/>
  <c r="E49" i="128"/>
  <c r="D49" i="128"/>
  <c r="C49" i="128"/>
  <c r="B49" i="128"/>
  <c r="S48" i="128"/>
  <c r="R48" i="128"/>
  <c r="Q48" i="128"/>
  <c r="I48" i="128"/>
  <c r="H48" i="128"/>
  <c r="G48" i="128"/>
  <c r="F48" i="128"/>
  <c r="E48" i="128"/>
  <c r="D48" i="128"/>
  <c r="C48" i="128"/>
  <c r="B48" i="128"/>
  <c r="T47" i="128"/>
  <c r="J47" i="128"/>
  <c r="S45" i="128"/>
  <c r="S50" i="128" s="1"/>
  <c r="S52" i="128" s="1"/>
  <c r="R45" i="128"/>
  <c r="R50" i="128" s="1"/>
  <c r="R52" i="128" s="1"/>
  <c r="Q45" i="128"/>
  <c r="Q50" i="128" s="1"/>
  <c r="Q52" i="128" s="1"/>
  <c r="I45" i="128"/>
  <c r="H45" i="128"/>
  <c r="G45" i="128"/>
  <c r="G50" i="128" s="1"/>
  <c r="G52" i="128" s="1"/>
  <c r="F45" i="128"/>
  <c r="F50" i="128" s="1"/>
  <c r="F52" i="128" s="1"/>
  <c r="E45" i="128"/>
  <c r="E50" i="128" s="1"/>
  <c r="E52" i="128" s="1"/>
  <c r="D45" i="128"/>
  <c r="D50" i="128" s="1"/>
  <c r="D52" i="128" s="1"/>
  <c r="C45" i="128"/>
  <c r="C50" i="128" s="1"/>
  <c r="C52" i="128" s="1"/>
  <c r="B45" i="128"/>
  <c r="T44" i="128"/>
  <c r="J44" i="128"/>
  <c r="T43" i="128"/>
  <c r="J43" i="128"/>
  <c r="T42" i="128"/>
  <c r="J42" i="128"/>
  <c r="T41" i="128"/>
  <c r="J41" i="128"/>
  <c r="T40" i="128"/>
  <c r="J40" i="128"/>
  <c r="T39" i="128"/>
  <c r="J39" i="128"/>
  <c r="T38" i="128"/>
  <c r="Z29" i="128"/>
  <c r="Y29" i="128"/>
  <c r="X29" i="128"/>
  <c r="W29" i="128"/>
  <c r="V29" i="128"/>
  <c r="U29" i="128"/>
  <c r="T29" i="128"/>
  <c r="S29" i="128"/>
  <c r="R29" i="128"/>
  <c r="Q29" i="128"/>
  <c r="P29" i="128"/>
  <c r="O29" i="128"/>
  <c r="N29" i="128"/>
  <c r="M29" i="128"/>
  <c r="L29" i="128"/>
  <c r="K29" i="128"/>
  <c r="J29" i="128"/>
  <c r="I29" i="128"/>
  <c r="H29" i="128"/>
  <c r="G29" i="128"/>
  <c r="F29" i="128"/>
  <c r="E29" i="128"/>
  <c r="D29" i="128"/>
  <c r="C29" i="128"/>
  <c r="B29" i="128"/>
  <c r="AA27" i="128"/>
  <c r="Z25" i="128"/>
  <c r="Y25" i="128"/>
  <c r="Y30" i="128" s="1"/>
  <c r="Y32" i="128" s="1"/>
  <c r="X25" i="128"/>
  <c r="X30" i="128" s="1"/>
  <c r="X32" i="128" s="1"/>
  <c r="W25" i="128"/>
  <c r="W30" i="128" s="1"/>
  <c r="W32" i="128" s="1"/>
  <c r="V25" i="128"/>
  <c r="V30" i="128" s="1"/>
  <c r="V32" i="128" s="1"/>
  <c r="U25" i="128"/>
  <c r="U30" i="128" s="1"/>
  <c r="U32" i="128" s="1"/>
  <c r="T25" i="128"/>
  <c r="T30" i="128" s="1"/>
  <c r="T32" i="128" s="1"/>
  <c r="S25" i="128"/>
  <c r="S30" i="128" s="1"/>
  <c r="S32" i="128" s="1"/>
  <c r="R25" i="128"/>
  <c r="R30" i="128" s="1"/>
  <c r="R32" i="128" s="1"/>
  <c r="Q25" i="128"/>
  <c r="Q30" i="128" s="1"/>
  <c r="Q32" i="128" s="1"/>
  <c r="P25" i="128"/>
  <c r="P30" i="128" s="1"/>
  <c r="P32" i="128" s="1"/>
  <c r="O25" i="128"/>
  <c r="O30" i="128" s="1"/>
  <c r="O32" i="128" s="1"/>
  <c r="N25" i="128"/>
  <c r="N30" i="128" s="1"/>
  <c r="N32" i="128" s="1"/>
  <c r="M25" i="128"/>
  <c r="M30" i="128" s="1"/>
  <c r="M32" i="128" s="1"/>
  <c r="L25" i="128"/>
  <c r="L30" i="128" s="1"/>
  <c r="L32" i="128" s="1"/>
  <c r="K25" i="128"/>
  <c r="K30" i="128" s="1"/>
  <c r="K32" i="128" s="1"/>
  <c r="J25" i="128"/>
  <c r="J30" i="128" s="1"/>
  <c r="J32" i="128" s="1"/>
  <c r="I25" i="128"/>
  <c r="I30" i="128" s="1"/>
  <c r="I32" i="128" s="1"/>
  <c r="H25" i="128"/>
  <c r="H30" i="128" s="1"/>
  <c r="H32" i="128" s="1"/>
  <c r="G25" i="128"/>
  <c r="G30" i="128" s="1"/>
  <c r="G32" i="128" s="1"/>
  <c r="F25" i="128"/>
  <c r="F30" i="128" s="1"/>
  <c r="F32" i="128" s="1"/>
  <c r="E25" i="128"/>
  <c r="E30" i="128" s="1"/>
  <c r="E32" i="128" s="1"/>
  <c r="D25" i="128"/>
  <c r="D30" i="128" s="1"/>
  <c r="D32" i="128" s="1"/>
  <c r="C25" i="128"/>
  <c r="C30" i="128" s="1"/>
  <c r="C32" i="128" s="1"/>
  <c r="B25" i="128"/>
  <c r="B30" i="128" s="1"/>
  <c r="B32" i="128" s="1"/>
  <c r="AA24" i="128"/>
  <c r="AA23" i="128"/>
  <c r="AA22" i="128"/>
  <c r="AA21" i="128"/>
  <c r="AA18" i="128"/>
  <c r="I51" i="128" l="1"/>
  <c r="H51" i="128"/>
  <c r="B51" i="128"/>
  <c r="Z31" i="128"/>
  <c r="E72" i="128"/>
  <c r="C72" i="128"/>
  <c r="F72" i="128"/>
  <c r="G66" i="128"/>
  <c r="G67" i="128" s="1"/>
  <c r="E71" i="128"/>
  <c r="E73" i="128" s="1"/>
  <c r="F71" i="128"/>
  <c r="F73" i="128" s="1"/>
  <c r="H50" i="128"/>
  <c r="H52" i="128" s="1"/>
  <c r="E51" i="128"/>
  <c r="F51" i="128"/>
  <c r="G51" i="128"/>
  <c r="C51" i="128"/>
  <c r="D51" i="128"/>
  <c r="Z30" i="128"/>
  <c r="Z32" i="128" s="1"/>
  <c r="B31" i="128"/>
  <c r="M31" i="128"/>
  <c r="N31" i="128"/>
  <c r="L31" i="128"/>
  <c r="X31" i="128"/>
  <c r="Y31" i="128"/>
  <c r="C31" i="128"/>
  <c r="O31" i="128"/>
  <c r="Q31" i="128"/>
  <c r="AA25" i="128"/>
  <c r="AA26" i="128" s="1"/>
  <c r="R31" i="128"/>
  <c r="G31" i="128"/>
  <c r="D31" i="128"/>
  <c r="E31" i="128"/>
  <c r="F31" i="128"/>
  <c r="S31" i="128"/>
  <c r="H31" i="128"/>
  <c r="I31" i="128"/>
  <c r="U31" i="128"/>
  <c r="J31" i="128"/>
  <c r="V31" i="128"/>
  <c r="P31" i="128"/>
  <c r="T31" i="128"/>
  <c r="K31" i="128"/>
  <c r="W31" i="128"/>
  <c r="D72" i="128"/>
  <c r="T45" i="128"/>
  <c r="I50" i="128"/>
  <c r="I52" i="128" s="1"/>
  <c r="Q51" i="128"/>
  <c r="R51" i="128"/>
  <c r="S51" i="128"/>
  <c r="B50" i="128"/>
  <c r="B52" i="128" s="1"/>
  <c r="C71" i="128"/>
  <c r="C73" i="128" s="1"/>
  <c r="J45" i="128"/>
  <c r="B72" i="128"/>
  <c r="C28" i="127"/>
  <c r="D28" i="127"/>
  <c r="E28" i="127"/>
  <c r="F28" i="127"/>
  <c r="G28" i="127"/>
  <c r="H28" i="127"/>
  <c r="I28" i="127"/>
  <c r="J28" i="127"/>
  <c r="K28" i="127"/>
  <c r="L28" i="127"/>
  <c r="M28" i="127"/>
  <c r="N28" i="127"/>
  <c r="O28" i="127"/>
  <c r="P28" i="127"/>
  <c r="Q28" i="127"/>
  <c r="R28" i="127"/>
  <c r="S28" i="127"/>
  <c r="T28" i="127"/>
  <c r="U28" i="127"/>
  <c r="V28" i="127"/>
  <c r="W28" i="127"/>
  <c r="X28" i="127"/>
  <c r="Y28" i="127"/>
  <c r="Z28" i="127"/>
  <c r="B28" i="127"/>
  <c r="G69" i="128" l="1"/>
  <c r="AA28" i="128"/>
  <c r="T46" i="128"/>
  <c r="T48" i="128"/>
  <c r="J48" i="128"/>
  <c r="J46" i="128"/>
  <c r="F70" i="127"/>
  <c r="E70" i="127"/>
  <c r="D70" i="127"/>
  <c r="C70" i="127"/>
  <c r="B70" i="127"/>
  <c r="F69" i="127"/>
  <c r="E69" i="127"/>
  <c r="D69" i="127"/>
  <c r="C69" i="127"/>
  <c r="B69" i="127"/>
  <c r="G68" i="127"/>
  <c r="F66" i="127"/>
  <c r="F71" i="127" s="1"/>
  <c r="F73" i="127" s="1"/>
  <c r="E66" i="127"/>
  <c r="E71" i="127" s="1"/>
  <c r="E73" i="127" s="1"/>
  <c r="D66" i="127"/>
  <c r="D71" i="127" s="1"/>
  <c r="D73" i="127" s="1"/>
  <c r="C66" i="127"/>
  <c r="C71" i="127" s="1"/>
  <c r="C73" i="127" s="1"/>
  <c r="B66" i="127"/>
  <c r="B71" i="127" s="1"/>
  <c r="B73" i="127" s="1"/>
  <c r="G65" i="127"/>
  <c r="G64" i="127"/>
  <c r="G63" i="127"/>
  <c r="G62" i="127"/>
  <c r="G61" i="127"/>
  <c r="G60" i="127"/>
  <c r="G59" i="127"/>
  <c r="S49" i="127"/>
  <c r="R49" i="127"/>
  <c r="Q49" i="127"/>
  <c r="I49" i="127"/>
  <c r="H49" i="127"/>
  <c r="G49" i="127"/>
  <c r="F49" i="127"/>
  <c r="E49" i="127"/>
  <c r="D49" i="127"/>
  <c r="C49" i="127"/>
  <c r="B49" i="127"/>
  <c r="S48" i="127"/>
  <c r="R48" i="127"/>
  <c r="Q48" i="127"/>
  <c r="I48" i="127"/>
  <c r="H48" i="127"/>
  <c r="G48" i="127"/>
  <c r="F48" i="127"/>
  <c r="E48" i="127"/>
  <c r="D48" i="127"/>
  <c r="C48" i="127"/>
  <c r="B48" i="127"/>
  <c r="T47" i="127"/>
  <c r="J47" i="127"/>
  <c r="S45" i="127"/>
  <c r="S50" i="127" s="1"/>
  <c r="S52" i="127" s="1"/>
  <c r="R45" i="127"/>
  <c r="R50" i="127" s="1"/>
  <c r="R52" i="127" s="1"/>
  <c r="Q45" i="127"/>
  <c r="Q50" i="127" s="1"/>
  <c r="Q52" i="127" s="1"/>
  <c r="I45" i="127"/>
  <c r="I50" i="127" s="1"/>
  <c r="I52" i="127" s="1"/>
  <c r="H45" i="127"/>
  <c r="H50" i="127" s="1"/>
  <c r="H52" i="127" s="1"/>
  <c r="G45" i="127"/>
  <c r="G50" i="127" s="1"/>
  <c r="G52" i="127" s="1"/>
  <c r="F45" i="127"/>
  <c r="F50" i="127" s="1"/>
  <c r="F52" i="127" s="1"/>
  <c r="E45" i="127"/>
  <c r="E50" i="127" s="1"/>
  <c r="E52" i="127" s="1"/>
  <c r="D45" i="127"/>
  <c r="D50" i="127" s="1"/>
  <c r="D52" i="127" s="1"/>
  <c r="C45" i="127"/>
  <c r="C50" i="127" s="1"/>
  <c r="C52" i="127" s="1"/>
  <c r="B45" i="127"/>
  <c r="B50" i="127" s="1"/>
  <c r="B52" i="127" s="1"/>
  <c r="T44" i="127"/>
  <c r="J44" i="127"/>
  <c r="T43" i="127"/>
  <c r="J43" i="127"/>
  <c r="T42" i="127"/>
  <c r="J42" i="127"/>
  <c r="T41" i="127"/>
  <c r="J41" i="127"/>
  <c r="T40" i="127"/>
  <c r="J40" i="127"/>
  <c r="T39" i="127"/>
  <c r="J39" i="127"/>
  <c r="T38" i="127"/>
  <c r="J38" i="127"/>
  <c r="Z29" i="127"/>
  <c r="Y29" i="127"/>
  <c r="X29" i="127"/>
  <c r="W29" i="127"/>
  <c r="V29" i="127"/>
  <c r="U29" i="127"/>
  <c r="T29" i="127"/>
  <c r="S29" i="127"/>
  <c r="R29" i="127"/>
  <c r="Q29" i="127"/>
  <c r="P29" i="127"/>
  <c r="O29" i="127"/>
  <c r="N29" i="127"/>
  <c r="M29" i="127"/>
  <c r="L29" i="127"/>
  <c r="K29" i="127"/>
  <c r="J29" i="127"/>
  <c r="I29" i="127"/>
  <c r="H29" i="127"/>
  <c r="G29" i="127"/>
  <c r="F29" i="127"/>
  <c r="E29" i="127"/>
  <c r="D29" i="127"/>
  <c r="C29" i="127"/>
  <c r="B29" i="127"/>
  <c r="AA27" i="127"/>
  <c r="Z25" i="127"/>
  <c r="Z30" i="127" s="1"/>
  <c r="Z32" i="127" s="1"/>
  <c r="Y25" i="127"/>
  <c r="Y30" i="127" s="1"/>
  <c r="Y32" i="127" s="1"/>
  <c r="X25" i="127"/>
  <c r="X30" i="127" s="1"/>
  <c r="X32" i="127" s="1"/>
  <c r="W25" i="127"/>
  <c r="W30" i="127" s="1"/>
  <c r="W32" i="127" s="1"/>
  <c r="V25" i="127"/>
  <c r="V30" i="127" s="1"/>
  <c r="V32" i="127" s="1"/>
  <c r="U25" i="127"/>
  <c r="U30" i="127" s="1"/>
  <c r="U32" i="127" s="1"/>
  <c r="T25" i="127"/>
  <c r="T30" i="127" s="1"/>
  <c r="T32" i="127" s="1"/>
  <c r="S25" i="127"/>
  <c r="S30" i="127" s="1"/>
  <c r="S32" i="127" s="1"/>
  <c r="R25" i="127"/>
  <c r="R30" i="127" s="1"/>
  <c r="R32" i="127" s="1"/>
  <c r="Q25" i="127"/>
  <c r="Q30" i="127" s="1"/>
  <c r="Q32" i="127" s="1"/>
  <c r="P25" i="127"/>
  <c r="P30" i="127" s="1"/>
  <c r="P32" i="127" s="1"/>
  <c r="O25" i="127"/>
  <c r="O30" i="127" s="1"/>
  <c r="O32" i="127" s="1"/>
  <c r="N25" i="127"/>
  <c r="N30" i="127" s="1"/>
  <c r="N32" i="127" s="1"/>
  <c r="M25" i="127"/>
  <c r="M30" i="127" s="1"/>
  <c r="M32" i="127" s="1"/>
  <c r="L25" i="127"/>
  <c r="L30" i="127" s="1"/>
  <c r="L32" i="127" s="1"/>
  <c r="K25" i="127"/>
  <c r="K30" i="127" s="1"/>
  <c r="K32" i="127" s="1"/>
  <c r="J25" i="127"/>
  <c r="J30" i="127" s="1"/>
  <c r="J32" i="127" s="1"/>
  <c r="I25" i="127"/>
  <c r="I30" i="127" s="1"/>
  <c r="I32" i="127" s="1"/>
  <c r="H25" i="127"/>
  <c r="H30" i="127" s="1"/>
  <c r="H32" i="127" s="1"/>
  <c r="G25" i="127"/>
  <c r="G30" i="127" s="1"/>
  <c r="G32" i="127" s="1"/>
  <c r="F25" i="127"/>
  <c r="F30" i="127" s="1"/>
  <c r="F32" i="127" s="1"/>
  <c r="E25" i="127"/>
  <c r="E30" i="127" s="1"/>
  <c r="E32" i="127" s="1"/>
  <c r="D25" i="127"/>
  <c r="D30" i="127" s="1"/>
  <c r="D32" i="127" s="1"/>
  <c r="C25" i="127"/>
  <c r="C30" i="127" s="1"/>
  <c r="C32" i="127" s="1"/>
  <c r="B25" i="127"/>
  <c r="B30" i="127" s="1"/>
  <c r="B32" i="127" s="1"/>
  <c r="AA24" i="127"/>
  <c r="AA23" i="127"/>
  <c r="AA22" i="127"/>
  <c r="AA21" i="127"/>
  <c r="AA20" i="127"/>
  <c r="AA19" i="127"/>
  <c r="AA18" i="127"/>
  <c r="I51" i="127" l="1"/>
  <c r="G66" i="127"/>
  <c r="G67" i="127" s="1"/>
  <c r="C72" i="127"/>
  <c r="E72" i="127"/>
  <c r="B72" i="127"/>
  <c r="F72" i="127"/>
  <c r="Q51" i="127"/>
  <c r="R51" i="127"/>
  <c r="S51" i="127"/>
  <c r="G51" i="127"/>
  <c r="F51" i="127"/>
  <c r="H51" i="127"/>
  <c r="B51" i="127"/>
  <c r="C51" i="127"/>
  <c r="D51" i="127"/>
  <c r="E51" i="127"/>
  <c r="P31" i="127"/>
  <c r="X31" i="127"/>
  <c r="AA25" i="127"/>
  <c r="AA26" i="127" s="1"/>
  <c r="H31" i="127"/>
  <c r="I31" i="127"/>
  <c r="Q31" i="127"/>
  <c r="Y31" i="127"/>
  <c r="B31" i="127"/>
  <c r="J31" i="127"/>
  <c r="R31" i="127"/>
  <c r="Z31" i="127"/>
  <c r="C31" i="127"/>
  <c r="K31" i="127"/>
  <c r="S31" i="127"/>
  <c r="D31" i="127"/>
  <c r="L31" i="127"/>
  <c r="T31" i="127"/>
  <c r="F31" i="127"/>
  <c r="N31" i="127"/>
  <c r="V31" i="127"/>
  <c r="G31" i="127"/>
  <c r="O31" i="127"/>
  <c r="W31" i="127"/>
  <c r="E31" i="127"/>
  <c r="T45" i="127"/>
  <c r="M31" i="127"/>
  <c r="U31" i="127"/>
  <c r="D72" i="127"/>
  <c r="J45" i="127"/>
  <c r="T47" i="126"/>
  <c r="G68" i="126"/>
  <c r="G69" i="127" l="1"/>
  <c r="AA28" i="127"/>
  <c r="T46" i="127"/>
  <c r="T48" i="127"/>
  <c r="J48" i="127"/>
  <c r="J46" i="127"/>
  <c r="F70" i="126"/>
  <c r="E70" i="126"/>
  <c r="D70" i="126"/>
  <c r="C70" i="126"/>
  <c r="B70" i="126"/>
  <c r="F69" i="126"/>
  <c r="E69" i="126"/>
  <c r="D69" i="126"/>
  <c r="C69" i="126"/>
  <c r="B69" i="126"/>
  <c r="F66" i="126"/>
  <c r="F71" i="126" s="1"/>
  <c r="F73" i="126" s="1"/>
  <c r="E66" i="126"/>
  <c r="E71" i="126" s="1"/>
  <c r="E73" i="126" s="1"/>
  <c r="D66" i="126"/>
  <c r="D71" i="126" s="1"/>
  <c r="D73" i="126" s="1"/>
  <c r="C66" i="126"/>
  <c r="C71" i="126" s="1"/>
  <c r="C73" i="126" s="1"/>
  <c r="B66" i="126"/>
  <c r="G65" i="126"/>
  <c r="G64" i="126"/>
  <c r="G63" i="126"/>
  <c r="G62" i="126"/>
  <c r="G61" i="126"/>
  <c r="G60" i="126"/>
  <c r="G59" i="126"/>
  <c r="S49" i="126"/>
  <c r="R49" i="126"/>
  <c r="Q49" i="126"/>
  <c r="I49" i="126"/>
  <c r="H49" i="126"/>
  <c r="G49" i="126"/>
  <c r="F49" i="126"/>
  <c r="E49" i="126"/>
  <c r="D49" i="126"/>
  <c r="C49" i="126"/>
  <c r="B49" i="126"/>
  <c r="S48" i="126"/>
  <c r="R48" i="126"/>
  <c r="Q48" i="126"/>
  <c r="I48" i="126"/>
  <c r="H48" i="126"/>
  <c r="G48" i="126"/>
  <c r="F48" i="126"/>
  <c r="E48" i="126"/>
  <c r="D48" i="126"/>
  <c r="C48" i="126"/>
  <c r="B48" i="126"/>
  <c r="J47" i="126"/>
  <c r="S45" i="126"/>
  <c r="S50" i="126" s="1"/>
  <c r="S52" i="126" s="1"/>
  <c r="R45" i="126"/>
  <c r="Q45" i="126"/>
  <c r="Q50" i="126" s="1"/>
  <c r="Q52" i="126" s="1"/>
  <c r="I45" i="126"/>
  <c r="I50" i="126" s="1"/>
  <c r="I52" i="126" s="1"/>
  <c r="H45" i="126"/>
  <c r="H50" i="126" s="1"/>
  <c r="H52" i="126" s="1"/>
  <c r="G45" i="126"/>
  <c r="F45" i="126"/>
  <c r="F50" i="126" s="1"/>
  <c r="F52" i="126" s="1"/>
  <c r="E45" i="126"/>
  <c r="E50" i="126" s="1"/>
  <c r="E52" i="126" s="1"/>
  <c r="D45" i="126"/>
  <c r="C45" i="126"/>
  <c r="B45" i="126"/>
  <c r="B50" i="126" s="1"/>
  <c r="B52" i="126" s="1"/>
  <c r="T44" i="126"/>
  <c r="J44" i="126"/>
  <c r="T43" i="126"/>
  <c r="J43" i="126"/>
  <c r="T42" i="126"/>
  <c r="J42" i="126"/>
  <c r="T41" i="126"/>
  <c r="J41" i="126"/>
  <c r="T40" i="126"/>
  <c r="J40" i="126"/>
  <c r="T39" i="126"/>
  <c r="J39" i="126"/>
  <c r="T38" i="126"/>
  <c r="J38" i="126"/>
  <c r="Z29" i="126"/>
  <c r="Y29" i="126"/>
  <c r="X29" i="126"/>
  <c r="W29" i="126"/>
  <c r="V29" i="126"/>
  <c r="U29" i="126"/>
  <c r="T29" i="126"/>
  <c r="S29" i="126"/>
  <c r="R29" i="126"/>
  <c r="Q29" i="126"/>
  <c r="P29" i="126"/>
  <c r="O29" i="126"/>
  <c r="N29" i="126"/>
  <c r="M29" i="126"/>
  <c r="L29" i="126"/>
  <c r="K29" i="126"/>
  <c r="J29" i="126"/>
  <c r="I29" i="126"/>
  <c r="H29" i="126"/>
  <c r="G29" i="126"/>
  <c r="F29" i="126"/>
  <c r="E29" i="126"/>
  <c r="D29" i="126"/>
  <c r="C29" i="126"/>
  <c r="B29" i="126"/>
  <c r="Z28" i="126"/>
  <c r="Y28" i="126"/>
  <c r="X28" i="126"/>
  <c r="W28" i="126"/>
  <c r="V28" i="126"/>
  <c r="U28" i="126"/>
  <c r="T28" i="126"/>
  <c r="S28" i="126"/>
  <c r="R28" i="126"/>
  <c r="Q28" i="126"/>
  <c r="P28" i="126"/>
  <c r="O28" i="126"/>
  <c r="N28" i="126"/>
  <c r="M28" i="126"/>
  <c r="L28" i="126"/>
  <c r="K28" i="126"/>
  <c r="J28" i="126"/>
  <c r="I28" i="126"/>
  <c r="H28" i="126"/>
  <c r="G28" i="126"/>
  <c r="F28" i="126"/>
  <c r="E28" i="126"/>
  <c r="D28" i="126"/>
  <c r="C28" i="126"/>
  <c r="B28" i="126"/>
  <c r="AA27" i="126"/>
  <c r="Z25" i="126"/>
  <c r="Z30" i="126" s="1"/>
  <c r="Z32" i="126" s="1"/>
  <c r="Y25" i="126"/>
  <c r="Y30" i="126" s="1"/>
  <c r="Y32" i="126" s="1"/>
  <c r="X25" i="126"/>
  <c r="W25" i="126"/>
  <c r="V25" i="126"/>
  <c r="V30" i="126" s="1"/>
  <c r="V32" i="126" s="1"/>
  <c r="U25" i="126"/>
  <c r="U30" i="126" s="1"/>
  <c r="U32" i="126" s="1"/>
  <c r="T25" i="126"/>
  <c r="T30" i="126" s="1"/>
  <c r="T32" i="126" s="1"/>
  <c r="S25" i="126"/>
  <c r="S30" i="126" s="1"/>
  <c r="S32" i="126" s="1"/>
  <c r="R25" i="126"/>
  <c r="R30" i="126" s="1"/>
  <c r="R32" i="126" s="1"/>
  <c r="Q25" i="126"/>
  <c r="Q30" i="126" s="1"/>
  <c r="Q32" i="126" s="1"/>
  <c r="P25" i="126"/>
  <c r="O25" i="126"/>
  <c r="N25" i="126"/>
  <c r="N30" i="126" s="1"/>
  <c r="N32" i="126" s="1"/>
  <c r="M25" i="126"/>
  <c r="M30" i="126" s="1"/>
  <c r="M32" i="126" s="1"/>
  <c r="L25" i="126"/>
  <c r="K25" i="126"/>
  <c r="K30" i="126" s="1"/>
  <c r="K32" i="126" s="1"/>
  <c r="J25" i="126"/>
  <c r="J30" i="126" s="1"/>
  <c r="J32" i="126" s="1"/>
  <c r="I25" i="126"/>
  <c r="I30" i="126" s="1"/>
  <c r="I32" i="126" s="1"/>
  <c r="H25" i="126"/>
  <c r="G25" i="126"/>
  <c r="F25" i="126"/>
  <c r="F30" i="126" s="1"/>
  <c r="F32" i="126" s="1"/>
  <c r="E25" i="126"/>
  <c r="E30" i="126" s="1"/>
  <c r="E32" i="126" s="1"/>
  <c r="D25" i="126"/>
  <c r="C25" i="126"/>
  <c r="C30" i="126" s="1"/>
  <c r="C32" i="126" s="1"/>
  <c r="B25" i="126"/>
  <c r="B30" i="126" s="1"/>
  <c r="B32" i="126" s="1"/>
  <c r="AA24" i="126"/>
  <c r="AA23" i="126"/>
  <c r="AA22" i="126"/>
  <c r="AA21" i="126"/>
  <c r="AA20" i="126"/>
  <c r="AA19" i="126"/>
  <c r="AA18" i="126"/>
  <c r="D72" i="126" l="1"/>
  <c r="O31" i="126"/>
  <c r="P31" i="126"/>
  <c r="J31" i="126"/>
  <c r="G31" i="126"/>
  <c r="H31" i="126"/>
  <c r="B72" i="126"/>
  <c r="E72" i="126"/>
  <c r="B31" i="126"/>
  <c r="F72" i="126"/>
  <c r="S51" i="126"/>
  <c r="G66" i="126"/>
  <c r="G67" i="126" s="1"/>
  <c r="V31" i="126"/>
  <c r="AA25" i="126"/>
  <c r="AA28" i="126" s="1"/>
  <c r="Y31" i="126"/>
  <c r="B51" i="126"/>
  <c r="Z31" i="126"/>
  <c r="E51" i="126"/>
  <c r="F51" i="126"/>
  <c r="M31" i="126"/>
  <c r="N31" i="126"/>
  <c r="D31" i="126"/>
  <c r="T31" i="126"/>
  <c r="R51" i="126"/>
  <c r="E31" i="126"/>
  <c r="Q31" i="126"/>
  <c r="F31" i="126"/>
  <c r="R31" i="126"/>
  <c r="D51" i="126"/>
  <c r="W31" i="126"/>
  <c r="L31" i="126"/>
  <c r="X31" i="126"/>
  <c r="I31" i="126"/>
  <c r="U31" i="126"/>
  <c r="L30" i="126"/>
  <c r="L32" i="126" s="1"/>
  <c r="G51" i="126"/>
  <c r="D30" i="126"/>
  <c r="D32" i="126" s="1"/>
  <c r="Q51" i="126"/>
  <c r="I51" i="126"/>
  <c r="C51" i="126"/>
  <c r="G50" i="126"/>
  <c r="G52" i="126" s="1"/>
  <c r="J45" i="126"/>
  <c r="J46" i="126" s="1"/>
  <c r="K31" i="126"/>
  <c r="C50" i="126"/>
  <c r="C52" i="126" s="1"/>
  <c r="R50" i="126"/>
  <c r="R52" i="126" s="1"/>
  <c r="H51" i="126"/>
  <c r="C72" i="126"/>
  <c r="D50" i="126"/>
  <c r="D52" i="126" s="1"/>
  <c r="G30" i="126"/>
  <c r="G32" i="126" s="1"/>
  <c r="O30" i="126"/>
  <c r="O32" i="126" s="1"/>
  <c r="W30" i="126"/>
  <c r="W32" i="126" s="1"/>
  <c r="T45" i="126"/>
  <c r="B71" i="126"/>
  <c r="B73" i="126" s="1"/>
  <c r="C31" i="126"/>
  <c r="H30" i="126"/>
  <c r="H32" i="126" s="1"/>
  <c r="P30" i="126"/>
  <c r="P32" i="126" s="1"/>
  <c r="X30" i="126"/>
  <c r="X32" i="126" s="1"/>
  <c r="S31" i="126"/>
  <c r="F70" i="125"/>
  <c r="E70" i="125"/>
  <c r="D70" i="125"/>
  <c r="C70" i="125"/>
  <c r="B70" i="125"/>
  <c r="F69" i="125"/>
  <c r="E69" i="125"/>
  <c r="D69" i="125"/>
  <c r="C69" i="125"/>
  <c r="B69" i="125"/>
  <c r="G68" i="125"/>
  <c r="F66" i="125"/>
  <c r="F71" i="125" s="1"/>
  <c r="F73" i="125" s="1"/>
  <c r="E66" i="125"/>
  <c r="E71" i="125" s="1"/>
  <c r="E73" i="125" s="1"/>
  <c r="D66" i="125"/>
  <c r="D71" i="125" s="1"/>
  <c r="D73" i="125" s="1"/>
  <c r="C66" i="125"/>
  <c r="C71" i="125" s="1"/>
  <c r="C73" i="125" s="1"/>
  <c r="B66" i="125"/>
  <c r="B71" i="125" s="1"/>
  <c r="B73" i="125" s="1"/>
  <c r="G65" i="125"/>
  <c r="G64" i="125"/>
  <c r="G63" i="125"/>
  <c r="G62" i="125"/>
  <c r="G61" i="125"/>
  <c r="G60" i="125"/>
  <c r="G59" i="125"/>
  <c r="S49" i="125"/>
  <c r="R49" i="125"/>
  <c r="Q49" i="125"/>
  <c r="I49" i="125"/>
  <c r="H49" i="125"/>
  <c r="G49" i="125"/>
  <c r="F49" i="125"/>
  <c r="E49" i="125"/>
  <c r="D49" i="125"/>
  <c r="C49" i="125"/>
  <c r="B49" i="125"/>
  <c r="S48" i="125"/>
  <c r="R48" i="125"/>
  <c r="Q48" i="125"/>
  <c r="I48" i="125"/>
  <c r="H48" i="125"/>
  <c r="G48" i="125"/>
  <c r="F48" i="125"/>
  <c r="E48" i="125"/>
  <c r="D48" i="125"/>
  <c r="C48" i="125"/>
  <c r="B48" i="125"/>
  <c r="T47" i="125"/>
  <c r="S45" i="125"/>
  <c r="S50" i="125" s="1"/>
  <c r="S52" i="125" s="1"/>
  <c r="R45" i="125"/>
  <c r="R50" i="125" s="1"/>
  <c r="R52" i="125" s="1"/>
  <c r="Q45" i="125"/>
  <c r="I45" i="125"/>
  <c r="I50" i="125" s="1"/>
  <c r="I52" i="125" s="1"/>
  <c r="H45" i="125"/>
  <c r="G45" i="125"/>
  <c r="G50" i="125" s="1"/>
  <c r="G52" i="125" s="1"/>
  <c r="F45" i="125"/>
  <c r="E45" i="125"/>
  <c r="E50" i="125" s="1"/>
  <c r="E52" i="125" s="1"/>
  <c r="D45" i="125"/>
  <c r="D50" i="125" s="1"/>
  <c r="D52" i="125" s="1"/>
  <c r="C45" i="125"/>
  <c r="C50" i="125" s="1"/>
  <c r="C52" i="125" s="1"/>
  <c r="B45" i="125"/>
  <c r="B50" i="125" s="1"/>
  <c r="B52" i="125" s="1"/>
  <c r="T44" i="125"/>
  <c r="J44" i="125"/>
  <c r="T43" i="125"/>
  <c r="J43" i="125"/>
  <c r="T42" i="125"/>
  <c r="J42" i="125"/>
  <c r="T41" i="125"/>
  <c r="J41" i="125"/>
  <c r="T40" i="125"/>
  <c r="J40" i="125"/>
  <c r="T39" i="125"/>
  <c r="J39" i="125"/>
  <c r="T38" i="125"/>
  <c r="J38" i="125"/>
  <c r="Z29" i="125"/>
  <c r="Y29" i="125"/>
  <c r="X29" i="125"/>
  <c r="W29" i="125"/>
  <c r="V29" i="125"/>
  <c r="U29" i="125"/>
  <c r="T29" i="125"/>
  <c r="S29" i="125"/>
  <c r="R29" i="125"/>
  <c r="Q29" i="125"/>
  <c r="P29" i="125"/>
  <c r="O29" i="125"/>
  <c r="N29" i="125"/>
  <c r="M29" i="125"/>
  <c r="L29" i="125"/>
  <c r="K29" i="125"/>
  <c r="J29" i="125"/>
  <c r="I29" i="125"/>
  <c r="H29" i="125"/>
  <c r="G29" i="125"/>
  <c r="F29" i="125"/>
  <c r="E29" i="125"/>
  <c r="D29" i="125"/>
  <c r="C29" i="125"/>
  <c r="B29" i="125"/>
  <c r="Z28" i="125"/>
  <c r="Y28" i="125"/>
  <c r="X28" i="125"/>
  <c r="W28" i="125"/>
  <c r="V28" i="125"/>
  <c r="U28" i="125"/>
  <c r="T28" i="125"/>
  <c r="S28" i="125"/>
  <c r="R28" i="125"/>
  <c r="Q28" i="125"/>
  <c r="P28" i="125"/>
  <c r="O28" i="125"/>
  <c r="N28" i="125"/>
  <c r="M28" i="125"/>
  <c r="L28" i="125"/>
  <c r="K28" i="125"/>
  <c r="J28" i="125"/>
  <c r="I28" i="125"/>
  <c r="H28" i="125"/>
  <c r="G28" i="125"/>
  <c r="F28" i="125"/>
  <c r="E28" i="125"/>
  <c r="D28" i="125"/>
  <c r="C28" i="125"/>
  <c r="B28" i="125"/>
  <c r="AA27" i="125"/>
  <c r="Z25" i="125"/>
  <c r="Z30" i="125" s="1"/>
  <c r="Z32" i="125" s="1"/>
  <c r="Y25" i="125"/>
  <c r="Y30" i="125" s="1"/>
  <c r="Y32" i="125" s="1"/>
  <c r="X25" i="125"/>
  <c r="W25" i="125"/>
  <c r="V25" i="125"/>
  <c r="V30" i="125" s="1"/>
  <c r="V32" i="125" s="1"/>
  <c r="U25" i="125"/>
  <c r="U30" i="125" s="1"/>
  <c r="U32" i="125" s="1"/>
  <c r="T25" i="125"/>
  <c r="T30" i="125" s="1"/>
  <c r="T32" i="125" s="1"/>
  <c r="S25" i="125"/>
  <c r="R25" i="125"/>
  <c r="R30" i="125" s="1"/>
  <c r="R32" i="125" s="1"/>
  <c r="Q25" i="125"/>
  <c r="Q30" i="125" s="1"/>
  <c r="Q32" i="125" s="1"/>
  <c r="P25" i="125"/>
  <c r="O25" i="125"/>
  <c r="N25" i="125"/>
  <c r="N30" i="125" s="1"/>
  <c r="N32" i="125" s="1"/>
  <c r="M25" i="125"/>
  <c r="M30" i="125" s="1"/>
  <c r="M32" i="125" s="1"/>
  <c r="L25" i="125"/>
  <c r="L30" i="125" s="1"/>
  <c r="L32" i="125" s="1"/>
  <c r="K25" i="125"/>
  <c r="J25" i="125"/>
  <c r="J30" i="125" s="1"/>
  <c r="J32" i="125" s="1"/>
  <c r="I25" i="125"/>
  <c r="I30" i="125" s="1"/>
  <c r="I32" i="125" s="1"/>
  <c r="H25" i="125"/>
  <c r="G25" i="125"/>
  <c r="F25" i="125"/>
  <c r="F30" i="125" s="1"/>
  <c r="F32" i="125" s="1"/>
  <c r="E25" i="125"/>
  <c r="E30" i="125" s="1"/>
  <c r="E32" i="125" s="1"/>
  <c r="D25" i="125"/>
  <c r="D30" i="125" s="1"/>
  <c r="D32" i="125" s="1"/>
  <c r="C25" i="125"/>
  <c r="C31" i="125" s="1"/>
  <c r="B25" i="125"/>
  <c r="AA24" i="125"/>
  <c r="AA23" i="125"/>
  <c r="AA22" i="125"/>
  <c r="AA21" i="125"/>
  <c r="AA20" i="125"/>
  <c r="AA19" i="125"/>
  <c r="AA18" i="125"/>
  <c r="V31" i="125" l="1"/>
  <c r="R51" i="125"/>
  <c r="C72" i="125"/>
  <c r="T45" i="125"/>
  <c r="T48" i="125" s="1"/>
  <c r="AA26" i="126"/>
  <c r="G69" i="126"/>
  <c r="X31" i="125"/>
  <c r="G51" i="125"/>
  <c r="P31" i="125"/>
  <c r="D72" i="125"/>
  <c r="H51" i="125"/>
  <c r="N31" i="125"/>
  <c r="S31" i="125"/>
  <c r="H31" i="125"/>
  <c r="F31" i="125"/>
  <c r="K31" i="125"/>
  <c r="J48" i="126"/>
  <c r="T46" i="126"/>
  <c r="T48" i="126"/>
  <c r="M31" i="125"/>
  <c r="Q51" i="125"/>
  <c r="K30" i="125"/>
  <c r="K32" i="125" s="1"/>
  <c r="G66" i="125"/>
  <c r="G67" i="125" s="1"/>
  <c r="E31" i="125"/>
  <c r="U31" i="125"/>
  <c r="B31" i="125"/>
  <c r="D51" i="125"/>
  <c r="S51" i="125"/>
  <c r="AA25" i="125"/>
  <c r="AA28" i="125" s="1"/>
  <c r="E72" i="125"/>
  <c r="I31" i="125"/>
  <c r="Q31" i="125"/>
  <c r="Y31" i="125"/>
  <c r="S30" i="125"/>
  <c r="S32" i="125" s="1"/>
  <c r="F72" i="125"/>
  <c r="C30" i="125"/>
  <c r="C32" i="125" s="1"/>
  <c r="G31" i="125"/>
  <c r="O31" i="125"/>
  <c r="W31" i="125"/>
  <c r="D31" i="125"/>
  <c r="L31" i="125"/>
  <c r="T31" i="125"/>
  <c r="I51" i="125"/>
  <c r="F51" i="125"/>
  <c r="F50" i="125"/>
  <c r="F52" i="125" s="1"/>
  <c r="E51" i="125"/>
  <c r="B51" i="125"/>
  <c r="J31" i="125"/>
  <c r="Q50" i="125"/>
  <c r="Q52" i="125" s="1"/>
  <c r="B72" i="125"/>
  <c r="R31" i="125"/>
  <c r="Z31" i="125"/>
  <c r="J45" i="125"/>
  <c r="G30" i="125"/>
  <c r="G32" i="125" s="1"/>
  <c r="O30" i="125"/>
  <c r="O32" i="125" s="1"/>
  <c r="W30" i="125"/>
  <c r="W32" i="125" s="1"/>
  <c r="H30" i="125"/>
  <c r="H32" i="125" s="1"/>
  <c r="P30" i="125"/>
  <c r="P32" i="125" s="1"/>
  <c r="X30" i="125"/>
  <c r="X32" i="125" s="1"/>
  <c r="C51" i="125"/>
  <c r="B30" i="125"/>
  <c r="B32" i="125" s="1"/>
  <c r="H50" i="125"/>
  <c r="H52" i="125" s="1"/>
  <c r="F70" i="124"/>
  <c r="E70" i="124"/>
  <c r="D70" i="124"/>
  <c r="C70" i="124"/>
  <c r="B70" i="124"/>
  <c r="F69" i="124"/>
  <c r="E69" i="124"/>
  <c r="D69" i="124"/>
  <c r="C69" i="124"/>
  <c r="B69" i="124"/>
  <c r="G68" i="124"/>
  <c r="F66" i="124"/>
  <c r="F71" i="124" s="1"/>
  <c r="F73" i="124" s="1"/>
  <c r="E66" i="124"/>
  <c r="E71" i="124" s="1"/>
  <c r="E73" i="124" s="1"/>
  <c r="D66" i="124"/>
  <c r="D71" i="124" s="1"/>
  <c r="D73" i="124" s="1"/>
  <c r="C66" i="124"/>
  <c r="B66" i="124"/>
  <c r="B71" i="124" s="1"/>
  <c r="B73" i="124" s="1"/>
  <c r="G65" i="124"/>
  <c r="G64" i="124"/>
  <c r="G63" i="124"/>
  <c r="G62" i="124"/>
  <c r="G61" i="124"/>
  <c r="G60" i="124"/>
  <c r="G59" i="124"/>
  <c r="S49" i="124"/>
  <c r="R49" i="124"/>
  <c r="Q49" i="124"/>
  <c r="I49" i="124"/>
  <c r="H49" i="124"/>
  <c r="G49" i="124"/>
  <c r="F49" i="124"/>
  <c r="E49" i="124"/>
  <c r="D49" i="124"/>
  <c r="C49" i="124"/>
  <c r="B49" i="124"/>
  <c r="S48" i="124"/>
  <c r="R48" i="124"/>
  <c r="Q48" i="124"/>
  <c r="I48" i="124"/>
  <c r="H48" i="124"/>
  <c r="G48" i="124"/>
  <c r="F48" i="124"/>
  <c r="E48" i="124"/>
  <c r="D48" i="124"/>
  <c r="C48" i="124"/>
  <c r="B48" i="124"/>
  <c r="T47" i="124"/>
  <c r="J47" i="124"/>
  <c r="S45" i="124"/>
  <c r="S50" i="124" s="1"/>
  <c r="S52" i="124" s="1"/>
  <c r="R45" i="124"/>
  <c r="R50" i="124" s="1"/>
  <c r="R52" i="124" s="1"/>
  <c r="Q45" i="124"/>
  <c r="Q50" i="124" s="1"/>
  <c r="Q52" i="124" s="1"/>
  <c r="I45" i="124"/>
  <c r="I50" i="124" s="1"/>
  <c r="I52" i="124" s="1"/>
  <c r="H45" i="124"/>
  <c r="H50" i="124" s="1"/>
  <c r="H52" i="124" s="1"/>
  <c r="G45" i="124"/>
  <c r="G50" i="124" s="1"/>
  <c r="G52" i="124" s="1"/>
  <c r="F45" i="124"/>
  <c r="F50" i="124" s="1"/>
  <c r="F52" i="124" s="1"/>
  <c r="E45" i="124"/>
  <c r="D45" i="124"/>
  <c r="C45" i="124"/>
  <c r="C50" i="124" s="1"/>
  <c r="C52" i="124" s="1"/>
  <c r="B45" i="124"/>
  <c r="B50" i="124" s="1"/>
  <c r="B52" i="124" s="1"/>
  <c r="T44" i="124"/>
  <c r="J44" i="124"/>
  <c r="T43" i="124"/>
  <c r="J43" i="124"/>
  <c r="T42" i="124"/>
  <c r="J42" i="124"/>
  <c r="T41" i="124"/>
  <c r="J41" i="124"/>
  <c r="T40" i="124"/>
  <c r="J40" i="124"/>
  <c r="T39" i="124"/>
  <c r="J39" i="124"/>
  <c r="T38" i="124"/>
  <c r="J38" i="124"/>
  <c r="Z29" i="124"/>
  <c r="Y29" i="124"/>
  <c r="X29" i="124"/>
  <c r="W29" i="124"/>
  <c r="V29" i="124"/>
  <c r="U29" i="124"/>
  <c r="T29" i="124"/>
  <c r="S29" i="124"/>
  <c r="R29" i="124"/>
  <c r="Q29" i="124"/>
  <c r="P29" i="124"/>
  <c r="O29" i="124"/>
  <c r="N29" i="124"/>
  <c r="M29" i="124"/>
  <c r="L29" i="124"/>
  <c r="K29" i="124"/>
  <c r="J29" i="124"/>
  <c r="I29" i="124"/>
  <c r="H29" i="124"/>
  <c r="G29" i="124"/>
  <c r="F29" i="124"/>
  <c r="E29" i="124"/>
  <c r="D29" i="124"/>
  <c r="C29" i="124"/>
  <c r="B29" i="124"/>
  <c r="Z28" i="124"/>
  <c r="Y28" i="124"/>
  <c r="X28" i="124"/>
  <c r="W28" i="124"/>
  <c r="V28" i="124"/>
  <c r="U28" i="124"/>
  <c r="T28" i="124"/>
  <c r="S28" i="124"/>
  <c r="R28" i="124"/>
  <c r="Q28" i="124"/>
  <c r="P28" i="124"/>
  <c r="O28" i="124"/>
  <c r="N28" i="124"/>
  <c r="M28" i="124"/>
  <c r="L28" i="124"/>
  <c r="K28" i="124"/>
  <c r="J28" i="124"/>
  <c r="I28" i="124"/>
  <c r="H28" i="124"/>
  <c r="G28" i="124"/>
  <c r="F28" i="124"/>
  <c r="E28" i="124"/>
  <c r="D28" i="124"/>
  <c r="C28" i="124"/>
  <c r="B28" i="124"/>
  <c r="AA27" i="124"/>
  <c r="Z25" i="124"/>
  <c r="Z30" i="124" s="1"/>
  <c r="Z32" i="124" s="1"/>
  <c r="Y25" i="124"/>
  <c r="Y30" i="124" s="1"/>
  <c r="Y32" i="124" s="1"/>
  <c r="X25" i="124"/>
  <c r="W25" i="124"/>
  <c r="V25" i="124"/>
  <c r="V30" i="124" s="1"/>
  <c r="V32" i="124" s="1"/>
  <c r="U25" i="124"/>
  <c r="T25" i="124"/>
  <c r="T30" i="124" s="1"/>
  <c r="T32" i="124" s="1"/>
  <c r="S25" i="124"/>
  <c r="S30" i="124" s="1"/>
  <c r="S32" i="124" s="1"/>
  <c r="R25" i="124"/>
  <c r="R30" i="124" s="1"/>
  <c r="R32" i="124" s="1"/>
  <c r="Q25" i="124"/>
  <c r="Q30" i="124" s="1"/>
  <c r="Q32" i="124" s="1"/>
  <c r="P25" i="124"/>
  <c r="P30" i="124" s="1"/>
  <c r="P32" i="124" s="1"/>
  <c r="O25" i="124"/>
  <c r="N25" i="124"/>
  <c r="N30" i="124" s="1"/>
  <c r="N32" i="124" s="1"/>
  <c r="M25" i="124"/>
  <c r="L25" i="124"/>
  <c r="L30" i="124" s="1"/>
  <c r="L32" i="124" s="1"/>
  <c r="K25" i="124"/>
  <c r="K30" i="124" s="1"/>
  <c r="K32" i="124" s="1"/>
  <c r="J25" i="124"/>
  <c r="J30" i="124" s="1"/>
  <c r="J32" i="124" s="1"/>
  <c r="I25" i="124"/>
  <c r="I30" i="124" s="1"/>
  <c r="I32" i="124" s="1"/>
  <c r="H25" i="124"/>
  <c r="G25" i="124"/>
  <c r="F25" i="124"/>
  <c r="F30" i="124" s="1"/>
  <c r="F32" i="124" s="1"/>
  <c r="E25" i="124"/>
  <c r="E30" i="124" s="1"/>
  <c r="E32" i="124" s="1"/>
  <c r="D25" i="124"/>
  <c r="D30" i="124" s="1"/>
  <c r="D32" i="124" s="1"/>
  <c r="C25" i="124"/>
  <c r="C30" i="124" s="1"/>
  <c r="C32" i="124" s="1"/>
  <c r="B25" i="124"/>
  <c r="B30" i="124" s="1"/>
  <c r="B32" i="124" s="1"/>
  <c r="AA24" i="124"/>
  <c r="AA23" i="124"/>
  <c r="AA22" i="124"/>
  <c r="AA21" i="124"/>
  <c r="AA20" i="124"/>
  <c r="AA19" i="124"/>
  <c r="AA18" i="124"/>
  <c r="T46" i="125" l="1"/>
  <c r="M31" i="124"/>
  <c r="AA26" i="125"/>
  <c r="H51" i="124"/>
  <c r="U31" i="124"/>
  <c r="C51" i="124"/>
  <c r="G69" i="125"/>
  <c r="R51" i="124"/>
  <c r="M30" i="124"/>
  <c r="M32" i="124" s="1"/>
  <c r="D51" i="124"/>
  <c r="S51" i="124"/>
  <c r="E51" i="124"/>
  <c r="G66" i="124"/>
  <c r="G69" i="124" s="1"/>
  <c r="C31" i="124"/>
  <c r="W31" i="124"/>
  <c r="B72" i="124"/>
  <c r="X31" i="124"/>
  <c r="I51" i="124"/>
  <c r="Q51" i="124"/>
  <c r="I31" i="124"/>
  <c r="J45" i="124"/>
  <c r="J48" i="124" s="1"/>
  <c r="B51" i="124"/>
  <c r="O31" i="124"/>
  <c r="P31" i="124"/>
  <c r="C72" i="124"/>
  <c r="B31" i="124"/>
  <c r="N31" i="124"/>
  <c r="D72" i="124"/>
  <c r="E72" i="124"/>
  <c r="F51" i="124"/>
  <c r="G51" i="124"/>
  <c r="C71" i="124"/>
  <c r="C73" i="124" s="1"/>
  <c r="J48" i="125"/>
  <c r="J46" i="125"/>
  <c r="X30" i="124"/>
  <c r="X32" i="124" s="1"/>
  <c r="Q31" i="124"/>
  <c r="Y31" i="124"/>
  <c r="R31" i="124"/>
  <c r="Z31" i="124"/>
  <c r="U30" i="124"/>
  <c r="U32" i="124" s="1"/>
  <c r="V31" i="124"/>
  <c r="S31" i="124"/>
  <c r="K31" i="124"/>
  <c r="J31" i="124"/>
  <c r="H31" i="124"/>
  <c r="G31" i="124"/>
  <c r="H30" i="124"/>
  <c r="H32" i="124" s="1"/>
  <c r="F31" i="124"/>
  <c r="AA25" i="124"/>
  <c r="AA28" i="124" s="1"/>
  <c r="E31" i="124"/>
  <c r="D31" i="124"/>
  <c r="L31" i="124"/>
  <c r="T31" i="124"/>
  <c r="D50" i="124"/>
  <c r="D52" i="124" s="1"/>
  <c r="G30" i="124"/>
  <c r="G32" i="124" s="1"/>
  <c r="O30" i="124"/>
  <c r="O32" i="124" s="1"/>
  <c r="W30" i="124"/>
  <c r="W32" i="124" s="1"/>
  <c r="T45" i="124"/>
  <c r="E50" i="124"/>
  <c r="E52" i="124" s="1"/>
  <c r="F72" i="124"/>
  <c r="G67" i="124" l="1"/>
  <c r="J46" i="124"/>
  <c r="AA26" i="124"/>
  <c r="T46" i="124"/>
  <c r="T48" i="124"/>
  <c r="F70" i="123"/>
  <c r="E70" i="123"/>
  <c r="D70" i="123"/>
  <c r="C70" i="123"/>
  <c r="B70" i="123"/>
  <c r="F69" i="123"/>
  <c r="E69" i="123"/>
  <c r="D69" i="123"/>
  <c r="C69" i="123"/>
  <c r="B69" i="123"/>
  <c r="G68" i="123"/>
  <c r="F66" i="123"/>
  <c r="F71" i="123" s="1"/>
  <c r="F73" i="123" s="1"/>
  <c r="E66" i="123"/>
  <c r="E71" i="123" s="1"/>
  <c r="E73" i="123" s="1"/>
  <c r="D66" i="123"/>
  <c r="D71" i="123" s="1"/>
  <c r="D73" i="123" s="1"/>
  <c r="C66" i="123"/>
  <c r="B66" i="123"/>
  <c r="B71" i="123" s="1"/>
  <c r="B73" i="123" s="1"/>
  <c r="G65" i="123"/>
  <c r="G64" i="123"/>
  <c r="G63" i="123"/>
  <c r="G62" i="123"/>
  <c r="G61" i="123"/>
  <c r="G60" i="123"/>
  <c r="G59" i="123"/>
  <c r="S49" i="123"/>
  <c r="R49" i="123"/>
  <c r="Q49" i="123"/>
  <c r="I49" i="123"/>
  <c r="H49" i="123"/>
  <c r="G49" i="123"/>
  <c r="F49" i="123"/>
  <c r="E49" i="123"/>
  <c r="D49" i="123"/>
  <c r="C49" i="123"/>
  <c r="B49" i="123"/>
  <c r="S48" i="123"/>
  <c r="R48" i="123"/>
  <c r="Q48" i="123"/>
  <c r="I48" i="123"/>
  <c r="H48" i="123"/>
  <c r="G48" i="123"/>
  <c r="F48" i="123"/>
  <c r="E48" i="123"/>
  <c r="D48" i="123"/>
  <c r="C48" i="123"/>
  <c r="B48" i="123"/>
  <c r="T47" i="123"/>
  <c r="J47" i="123"/>
  <c r="S45" i="123"/>
  <c r="S50" i="123" s="1"/>
  <c r="S52" i="123" s="1"/>
  <c r="R45" i="123"/>
  <c r="R50" i="123" s="1"/>
  <c r="R52" i="123" s="1"/>
  <c r="Q45" i="123"/>
  <c r="I45" i="123"/>
  <c r="I50" i="123" s="1"/>
  <c r="I52" i="123" s="1"/>
  <c r="H45" i="123"/>
  <c r="H50" i="123" s="1"/>
  <c r="H52" i="123" s="1"/>
  <c r="G45" i="123"/>
  <c r="G50" i="123" s="1"/>
  <c r="G52" i="123" s="1"/>
  <c r="F45" i="123"/>
  <c r="F50" i="123" s="1"/>
  <c r="F52" i="123" s="1"/>
  <c r="E45" i="123"/>
  <c r="E50" i="123" s="1"/>
  <c r="E52" i="123" s="1"/>
  <c r="D45" i="123"/>
  <c r="D50" i="123" s="1"/>
  <c r="D52" i="123" s="1"/>
  <c r="C45" i="123"/>
  <c r="C50" i="123" s="1"/>
  <c r="C52" i="123" s="1"/>
  <c r="B45" i="123"/>
  <c r="B50" i="123" s="1"/>
  <c r="B52" i="123" s="1"/>
  <c r="T44" i="123"/>
  <c r="J44" i="123"/>
  <c r="T43" i="123"/>
  <c r="J43" i="123"/>
  <c r="T42" i="123"/>
  <c r="J42" i="123"/>
  <c r="T41" i="123"/>
  <c r="J41" i="123"/>
  <c r="T40" i="123"/>
  <c r="J40" i="123"/>
  <c r="T39" i="123"/>
  <c r="J39" i="123"/>
  <c r="T38" i="123"/>
  <c r="J38" i="123"/>
  <c r="Z29" i="123"/>
  <c r="Y29" i="123"/>
  <c r="X29" i="123"/>
  <c r="W29" i="123"/>
  <c r="V29" i="123"/>
  <c r="U29" i="123"/>
  <c r="T29" i="123"/>
  <c r="S29" i="123"/>
  <c r="R29" i="123"/>
  <c r="Q29" i="123"/>
  <c r="P29" i="123"/>
  <c r="O29" i="123"/>
  <c r="N29" i="123"/>
  <c r="M29" i="123"/>
  <c r="L29" i="123"/>
  <c r="K29" i="123"/>
  <c r="J29" i="123"/>
  <c r="I29" i="123"/>
  <c r="H29" i="123"/>
  <c r="G29" i="123"/>
  <c r="F29" i="123"/>
  <c r="E29" i="123"/>
  <c r="D29" i="123"/>
  <c r="C29" i="123"/>
  <c r="B29" i="123"/>
  <c r="Z28" i="123"/>
  <c r="Y28" i="123"/>
  <c r="X28" i="123"/>
  <c r="W28" i="123"/>
  <c r="V28" i="123"/>
  <c r="U28" i="123"/>
  <c r="T28" i="123"/>
  <c r="S28" i="123"/>
  <c r="R28" i="123"/>
  <c r="Q28" i="123"/>
  <c r="P28" i="123"/>
  <c r="O28" i="123"/>
  <c r="N28" i="123"/>
  <c r="M28" i="123"/>
  <c r="L28" i="123"/>
  <c r="K28" i="123"/>
  <c r="J28" i="123"/>
  <c r="I28" i="123"/>
  <c r="H28" i="123"/>
  <c r="G28" i="123"/>
  <c r="F28" i="123"/>
  <c r="E28" i="123"/>
  <c r="D28" i="123"/>
  <c r="C28" i="123"/>
  <c r="B28" i="123"/>
  <c r="AA27" i="123"/>
  <c r="Z25" i="123"/>
  <c r="Z30" i="123" s="1"/>
  <c r="Z32" i="123" s="1"/>
  <c r="Y25" i="123"/>
  <c r="Y30" i="123" s="1"/>
  <c r="Y32" i="123" s="1"/>
  <c r="X25" i="123"/>
  <c r="X30" i="123" s="1"/>
  <c r="X32" i="123" s="1"/>
  <c r="W25" i="123"/>
  <c r="W30" i="123" s="1"/>
  <c r="W32" i="123" s="1"/>
  <c r="V25" i="123"/>
  <c r="V30" i="123" s="1"/>
  <c r="V32" i="123" s="1"/>
  <c r="U25" i="123"/>
  <c r="U30" i="123" s="1"/>
  <c r="U32" i="123" s="1"/>
  <c r="T25" i="123"/>
  <c r="S25" i="123"/>
  <c r="S30" i="123" s="1"/>
  <c r="S32" i="123" s="1"/>
  <c r="R25" i="123"/>
  <c r="R30" i="123" s="1"/>
  <c r="R32" i="123" s="1"/>
  <c r="Q25" i="123"/>
  <c r="P25" i="123"/>
  <c r="P30" i="123" s="1"/>
  <c r="P32" i="123" s="1"/>
  <c r="O25" i="123"/>
  <c r="O30" i="123" s="1"/>
  <c r="O32" i="123" s="1"/>
  <c r="N25" i="123"/>
  <c r="N30" i="123" s="1"/>
  <c r="N32" i="123" s="1"/>
  <c r="M25" i="123"/>
  <c r="M30" i="123" s="1"/>
  <c r="M32" i="123" s="1"/>
  <c r="L25" i="123"/>
  <c r="K25" i="123"/>
  <c r="J25" i="123"/>
  <c r="J30" i="123" s="1"/>
  <c r="J32" i="123" s="1"/>
  <c r="I25" i="123"/>
  <c r="H25" i="123"/>
  <c r="H30" i="123" s="1"/>
  <c r="H32" i="123" s="1"/>
  <c r="G25" i="123"/>
  <c r="G30" i="123" s="1"/>
  <c r="G32" i="123" s="1"/>
  <c r="F25" i="123"/>
  <c r="F30" i="123" s="1"/>
  <c r="F32" i="123" s="1"/>
  <c r="E25" i="123"/>
  <c r="E30" i="123" s="1"/>
  <c r="E32" i="123" s="1"/>
  <c r="D25" i="123"/>
  <c r="C25" i="123"/>
  <c r="C30" i="123" s="1"/>
  <c r="C32" i="123" s="1"/>
  <c r="B25" i="123"/>
  <c r="B30" i="123" s="1"/>
  <c r="B32" i="123" s="1"/>
  <c r="AA24" i="123"/>
  <c r="AA23" i="123"/>
  <c r="AA22" i="123"/>
  <c r="AA21" i="123"/>
  <c r="AA20" i="123"/>
  <c r="AA19" i="123"/>
  <c r="AA18" i="123"/>
  <c r="D31" i="123" l="1"/>
  <c r="T31" i="123"/>
  <c r="H51" i="123"/>
  <c r="G51" i="123"/>
  <c r="L31" i="123"/>
  <c r="C51" i="123"/>
  <c r="R51" i="123"/>
  <c r="B31" i="123"/>
  <c r="J31" i="123"/>
  <c r="Z31" i="123"/>
  <c r="D51" i="123"/>
  <c r="S51" i="123"/>
  <c r="E31" i="123"/>
  <c r="M31" i="123"/>
  <c r="E72" i="123"/>
  <c r="T30" i="123"/>
  <c r="T32" i="123" s="1"/>
  <c r="E51" i="123"/>
  <c r="I31" i="123"/>
  <c r="F31" i="123"/>
  <c r="N31" i="123"/>
  <c r="F72" i="123"/>
  <c r="F51" i="123"/>
  <c r="D72" i="123"/>
  <c r="G31" i="123"/>
  <c r="O31" i="123"/>
  <c r="I51" i="123"/>
  <c r="D30" i="123"/>
  <c r="D32" i="123" s="1"/>
  <c r="K31" i="123"/>
  <c r="H31" i="123"/>
  <c r="P31" i="123"/>
  <c r="L30" i="123"/>
  <c r="L32" i="123" s="1"/>
  <c r="J45" i="123"/>
  <c r="J46" i="123" s="1"/>
  <c r="T45" i="123"/>
  <c r="T46" i="123" s="1"/>
  <c r="B51" i="123"/>
  <c r="Q51" i="123"/>
  <c r="G66" i="123"/>
  <c r="G69" i="123" s="1"/>
  <c r="C72" i="123"/>
  <c r="Q31" i="123"/>
  <c r="X31" i="123"/>
  <c r="Y31" i="123"/>
  <c r="W31" i="123"/>
  <c r="U31" i="123"/>
  <c r="V31" i="123"/>
  <c r="AA25" i="123"/>
  <c r="AA26" i="123" s="1"/>
  <c r="R31" i="123"/>
  <c r="S31" i="123"/>
  <c r="Q50" i="123"/>
  <c r="Q52" i="123" s="1"/>
  <c r="B72" i="123"/>
  <c r="C31" i="123"/>
  <c r="C71" i="123"/>
  <c r="C73" i="123" s="1"/>
  <c r="I30" i="123"/>
  <c r="I32" i="123" s="1"/>
  <c r="Q30" i="123"/>
  <c r="Q32" i="123" s="1"/>
  <c r="K30" i="123"/>
  <c r="K32" i="123" s="1"/>
  <c r="F70" i="122"/>
  <c r="E70" i="122"/>
  <c r="D70" i="122"/>
  <c r="C70" i="122"/>
  <c r="B70" i="122"/>
  <c r="F69" i="122"/>
  <c r="E69" i="122"/>
  <c r="D69" i="122"/>
  <c r="C69" i="122"/>
  <c r="B69" i="122"/>
  <c r="G68" i="122"/>
  <c r="F66" i="122"/>
  <c r="F71" i="122" s="1"/>
  <c r="F73" i="122" s="1"/>
  <c r="E66" i="122"/>
  <c r="E71" i="122" s="1"/>
  <c r="E73" i="122" s="1"/>
  <c r="D66" i="122"/>
  <c r="D71" i="122" s="1"/>
  <c r="D73" i="122" s="1"/>
  <c r="C66" i="122"/>
  <c r="C71" i="122" s="1"/>
  <c r="C73" i="122" s="1"/>
  <c r="B66" i="122"/>
  <c r="G65" i="122"/>
  <c r="G64" i="122"/>
  <c r="G63" i="122"/>
  <c r="G62" i="122"/>
  <c r="G61" i="122"/>
  <c r="G60" i="122"/>
  <c r="G59" i="122"/>
  <c r="S49" i="122"/>
  <c r="R49" i="122"/>
  <c r="Q49" i="122"/>
  <c r="I49" i="122"/>
  <c r="H49" i="122"/>
  <c r="G49" i="122"/>
  <c r="F49" i="122"/>
  <c r="E49" i="122"/>
  <c r="D49" i="122"/>
  <c r="C49" i="122"/>
  <c r="B49" i="122"/>
  <c r="S48" i="122"/>
  <c r="R48" i="122"/>
  <c r="Q48" i="122"/>
  <c r="I48" i="122"/>
  <c r="H48" i="122"/>
  <c r="G48" i="122"/>
  <c r="F48" i="122"/>
  <c r="E48" i="122"/>
  <c r="D48" i="122"/>
  <c r="C48" i="122"/>
  <c r="B48" i="122"/>
  <c r="T47" i="122"/>
  <c r="J47" i="122"/>
  <c r="S45" i="122"/>
  <c r="S50" i="122" s="1"/>
  <c r="S52" i="122" s="1"/>
  <c r="R45" i="122"/>
  <c r="R50" i="122" s="1"/>
  <c r="R52" i="122" s="1"/>
  <c r="Q45" i="122"/>
  <c r="Q50" i="122" s="1"/>
  <c r="Q52" i="122" s="1"/>
  <c r="I45" i="122"/>
  <c r="H45" i="122"/>
  <c r="H50" i="122" s="1"/>
  <c r="H52" i="122" s="1"/>
  <c r="G45" i="122"/>
  <c r="G50" i="122" s="1"/>
  <c r="G52" i="122" s="1"/>
  <c r="F45" i="122"/>
  <c r="F50" i="122" s="1"/>
  <c r="F52" i="122" s="1"/>
  <c r="E45" i="122"/>
  <c r="E50" i="122" s="1"/>
  <c r="E52" i="122" s="1"/>
  <c r="D45" i="122"/>
  <c r="D50" i="122" s="1"/>
  <c r="D52" i="122" s="1"/>
  <c r="C45" i="122"/>
  <c r="C50" i="122" s="1"/>
  <c r="C52" i="122" s="1"/>
  <c r="B45" i="122"/>
  <c r="B50" i="122" s="1"/>
  <c r="B52" i="122" s="1"/>
  <c r="T44" i="122"/>
  <c r="J44" i="122"/>
  <c r="T43" i="122"/>
  <c r="J43" i="122"/>
  <c r="T42" i="122"/>
  <c r="J42" i="122"/>
  <c r="T41" i="122"/>
  <c r="J41" i="122"/>
  <c r="T40" i="122"/>
  <c r="J40" i="122"/>
  <c r="T39" i="122"/>
  <c r="J39" i="122"/>
  <c r="T38" i="122"/>
  <c r="J38" i="122"/>
  <c r="Z29" i="122"/>
  <c r="Y29" i="122"/>
  <c r="X29" i="122"/>
  <c r="W29" i="122"/>
  <c r="V29" i="122"/>
  <c r="U29" i="122"/>
  <c r="T29" i="122"/>
  <c r="S29" i="122"/>
  <c r="R29" i="122"/>
  <c r="Q29" i="122"/>
  <c r="P29" i="122"/>
  <c r="O29" i="122"/>
  <c r="N29" i="122"/>
  <c r="M29" i="122"/>
  <c r="L29" i="122"/>
  <c r="K29" i="122"/>
  <c r="J29" i="122"/>
  <c r="I29" i="122"/>
  <c r="H29" i="122"/>
  <c r="G29" i="122"/>
  <c r="F29" i="122"/>
  <c r="E29" i="122"/>
  <c r="D29" i="122"/>
  <c r="C29" i="122"/>
  <c r="B29" i="122"/>
  <c r="Z28" i="122"/>
  <c r="Y28" i="122"/>
  <c r="X28" i="122"/>
  <c r="W28" i="122"/>
  <c r="V28" i="122"/>
  <c r="U28" i="122"/>
  <c r="T28" i="122"/>
  <c r="S28" i="122"/>
  <c r="R28" i="122"/>
  <c r="Q28" i="122"/>
  <c r="P28" i="122"/>
  <c r="O28" i="122"/>
  <c r="N28" i="122"/>
  <c r="M28" i="122"/>
  <c r="L28" i="122"/>
  <c r="K28" i="122"/>
  <c r="J28" i="122"/>
  <c r="I28" i="122"/>
  <c r="H28" i="122"/>
  <c r="G28" i="122"/>
  <c r="F28" i="122"/>
  <c r="E28" i="122"/>
  <c r="D28" i="122"/>
  <c r="C28" i="122"/>
  <c r="B28" i="122"/>
  <c r="AA27" i="122"/>
  <c r="Z25" i="122"/>
  <c r="Z30" i="122" s="1"/>
  <c r="Z32" i="122" s="1"/>
  <c r="Y25" i="122"/>
  <c r="Y30" i="122" s="1"/>
  <c r="Y32" i="122" s="1"/>
  <c r="X25" i="122"/>
  <c r="W25" i="122"/>
  <c r="W30" i="122" s="1"/>
  <c r="W32" i="122" s="1"/>
  <c r="V25" i="122"/>
  <c r="V30" i="122" s="1"/>
  <c r="V32" i="122" s="1"/>
  <c r="U25" i="122"/>
  <c r="U30" i="122" s="1"/>
  <c r="U32" i="122" s="1"/>
  <c r="T25" i="122"/>
  <c r="T30" i="122" s="1"/>
  <c r="T32" i="122" s="1"/>
  <c r="S25" i="122"/>
  <c r="S30" i="122" s="1"/>
  <c r="S32" i="122" s="1"/>
  <c r="R25" i="122"/>
  <c r="R30" i="122" s="1"/>
  <c r="R32" i="122" s="1"/>
  <c r="Q25" i="122"/>
  <c r="Q30" i="122" s="1"/>
  <c r="Q32" i="122" s="1"/>
  <c r="P25" i="122"/>
  <c r="O25" i="122"/>
  <c r="O30" i="122" s="1"/>
  <c r="O32" i="122" s="1"/>
  <c r="N25" i="122"/>
  <c r="N30" i="122" s="1"/>
  <c r="N32" i="122" s="1"/>
  <c r="M25" i="122"/>
  <c r="M30" i="122" s="1"/>
  <c r="M32" i="122" s="1"/>
  <c r="L25" i="122"/>
  <c r="L30" i="122" s="1"/>
  <c r="L32" i="122" s="1"/>
  <c r="K25" i="122"/>
  <c r="K30" i="122" s="1"/>
  <c r="K32" i="122" s="1"/>
  <c r="J25" i="122"/>
  <c r="J30" i="122" s="1"/>
  <c r="J32" i="122" s="1"/>
  <c r="I25" i="122"/>
  <c r="I30" i="122" s="1"/>
  <c r="I32" i="122" s="1"/>
  <c r="H25" i="122"/>
  <c r="G25" i="122"/>
  <c r="G30" i="122" s="1"/>
  <c r="G32" i="122" s="1"/>
  <c r="F25" i="122"/>
  <c r="F30" i="122" s="1"/>
  <c r="F32" i="122" s="1"/>
  <c r="E25" i="122"/>
  <c r="E30" i="122" s="1"/>
  <c r="E32" i="122" s="1"/>
  <c r="D25" i="122"/>
  <c r="D30" i="122" s="1"/>
  <c r="D32" i="122" s="1"/>
  <c r="C25" i="122"/>
  <c r="C30" i="122" s="1"/>
  <c r="C32" i="122" s="1"/>
  <c r="B25" i="122"/>
  <c r="B30" i="122" s="1"/>
  <c r="B32" i="122" s="1"/>
  <c r="AA24" i="122"/>
  <c r="AA23" i="122"/>
  <c r="AA22" i="122"/>
  <c r="AA21" i="122"/>
  <c r="AA20" i="122"/>
  <c r="AA19" i="122"/>
  <c r="AA18" i="122"/>
  <c r="T48" i="123" l="1"/>
  <c r="I51" i="122"/>
  <c r="J48" i="123"/>
  <c r="G67" i="123"/>
  <c r="AA28" i="123"/>
  <c r="G66" i="122"/>
  <c r="G67" i="122" s="1"/>
  <c r="R31" i="122"/>
  <c r="J31" i="122"/>
  <c r="B31" i="122"/>
  <c r="Z31" i="122"/>
  <c r="AA25" i="122"/>
  <c r="AA26" i="122" s="1"/>
  <c r="B72" i="122"/>
  <c r="C72" i="122"/>
  <c r="D72" i="122"/>
  <c r="F72" i="122"/>
  <c r="Q51" i="122"/>
  <c r="R51" i="122"/>
  <c r="S51" i="122"/>
  <c r="D51" i="122"/>
  <c r="C51" i="122"/>
  <c r="I50" i="122"/>
  <c r="I52" i="122" s="1"/>
  <c r="F51" i="122"/>
  <c r="H51" i="122"/>
  <c r="G51" i="122"/>
  <c r="E51" i="122"/>
  <c r="B51" i="122"/>
  <c r="H31" i="122"/>
  <c r="P31" i="122"/>
  <c r="X31" i="122"/>
  <c r="X30" i="122"/>
  <c r="X32" i="122" s="1"/>
  <c r="I31" i="122"/>
  <c r="Q31" i="122"/>
  <c r="Y31" i="122"/>
  <c r="C31" i="122"/>
  <c r="K31" i="122"/>
  <c r="S31" i="122"/>
  <c r="D31" i="122"/>
  <c r="L31" i="122"/>
  <c r="T31" i="122"/>
  <c r="H30" i="122"/>
  <c r="H32" i="122" s="1"/>
  <c r="E31" i="122"/>
  <c r="M31" i="122"/>
  <c r="U31" i="122"/>
  <c r="F31" i="122"/>
  <c r="N31" i="122"/>
  <c r="V31" i="122"/>
  <c r="P30" i="122"/>
  <c r="P32" i="122" s="1"/>
  <c r="T45" i="122"/>
  <c r="B71" i="122"/>
  <c r="B73" i="122" s="1"/>
  <c r="E72" i="122"/>
  <c r="O31" i="122"/>
  <c r="G31" i="122"/>
  <c r="W31" i="122"/>
  <c r="J45" i="122"/>
  <c r="G69" i="122" l="1"/>
  <c r="AA28" i="122"/>
  <c r="T46" i="122"/>
  <c r="T48" i="122"/>
  <c r="J48" i="122"/>
  <c r="J46" i="122"/>
  <c r="L33" i="121" l="1"/>
  <c r="I33" i="121"/>
  <c r="C33" i="121"/>
  <c r="D33" i="121"/>
  <c r="B33" i="121"/>
  <c r="F70" i="121"/>
  <c r="E70" i="121"/>
  <c r="D70" i="121"/>
  <c r="C70" i="121"/>
  <c r="B70" i="121"/>
  <c r="F69" i="121"/>
  <c r="E69" i="121"/>
  <c r="D69" i="121"/>
  <c r="C69" i="121"/>
  <c r="B69" i="121"/>
  <c r="G68" i="121"/>
  <c r="F66" i="121"/>
  <c r="F71" i="121" s="1"/>
  <c r="F73" i="121" s="1"/>
  <c r="E66" i="121"/>
  <c r="E71" i="121" s="1"/>
  <c r="E73" i="121" s="1"/>
  <c r="D66" i="121"/>
  <c r="D71" i="121" s="1"/>
  <c r="D73" i="121" s="1"/>
  <c r="C66" i="121"/>
  <c r="B66" i="121"/>
  <c r="G65" i="121"/>
  <c r="G64" i="121"/>
  <c r="G63" i="121"/>
  <c r="G62" i="121"/>
  <c r="G61" i="121"/>
  <c r="G60" i="121"/>
  <c r="G59" i="121"/>
  <c r="S49" i="121"/>
  <c r="R49" i="121"/>
  <c r="Q49" i="121"/>
  <c r="I49" i="121"/>
  <c r="H49" i="121"/>
  <c r="G49" i="121"/>
  <c r="F49" i="121"/>
  <c r="E49" i="121"/>
  <c r="D49" i="121"/>
  <c r="C49" i="121"/>
  <c r="B49" i="121"/>
  <c r="S48" i="121"/>
  <c r="R48" i="121"/>
  <c r="Q48" i="121"/>
  <c r="I48" i="121"/>
  <c r="H48" i="121"/>
  <c r="G48" i="121"/>
  <c r="F48" i="121"/>
  <c r="E48" i="121"/>
  <c r="D48" i="121"/>
  <c r="C48" i="121"/>
  <c r="B48" i="121"/>
  <c r="T47" i="121"/>
  <c r="J47" i="121"/>
  <c r="S45" i="121"/>
  <c r="R45" i="121"/>
  <c r="R50" i="121" s="1"/>
  <c r="R52" i="121" s="1"/>
  <c r="Q45" i="121"/>
  <c r="Q50" i="121" s="1"/>
  <c r="Q52" i="121" s="1"/>
  <c r="I45" i="121"/>
  <c r="I50" i="121" s="1"/>
  <c r="I52" i="121" s="1"/>
  <c r="H45" i="121"/>
  <c r="H50" i="121" s="1"/>
  <c r="H52" i="121" s="1"/>
  <c r="G45" i="121"/>
  <c r="G50" i="121" s="1"/>
  <c r="G52" i="121" s="1"/>
  <c r="F45" i="121"/>
  <c r="F50" i="121" s="1"/>
  <c r="F52" i="121" s="1"/>
  <c r="E45" i="121"/>
  <c r="E50" i="121" s="1"/>
  <c r="E52" i="121" s="1"/>
  <c r="D45" i="121"/>
  <c r="D50" i="121" s="1"/>
  <c r="D52" i="121" s="1"/>
  <c r="C45" i="121"/>
  <c r="B45" i="121"/>
  <c r="T44" i="121"/>
  <c r="J44" i="121"/>
  <c r="T43" i="121"/>
  <c r="J43" i="121"/>
  <c r="T42" i="121"/>
  <c r="J42" i="121"/>
  <c r="T41" i="121"/>
  <c r="J41" i="121"/>
  <c r="T40" i="121"/>
  <c r="J40" i="121"/>
  <c r="T39" i="121"/>
  <c r="J39" i="121"/>
  <c r="T38" i="121"/>
  <c r="J38" i="121"/>
  <c r="Z29" i="121"/>
  <c r="Y29" i="121"/>
  <c r="X29" i="121"/>
  <c r="W29" i="121"/>
  <c r="V29" i="121"/>
  <c r="U29" i="121"/>
  <c r="T29" i="121"/>
  <c r="S29" i="121"/>
  <c r="R29" i="121"/>
  <c r="Q29" i="121"/>
  <c r="P29" i="121"/>
  <c r="O29" i="121"/>
  <c r="N29" i="121"/>
  <c r="M29" i="121"/>
  <c r="L29" i="121"/>
  <c r="K29" i="121"/>
  <c r="J29" i="121"/>
  <c r="I29" i="121"/>
  <c r="H29" i="121"/>
  <c r="G29" i="121"/>
  <c r="F29" i="121"/>
  <c r="E29" i="121"/>
  <c r="D29" i="121"/>
  <c r="C29" i="121"/>
  <c r="B29" i="121"/>
  <c r="Z28" i="121"/>
  <c r="Y28" i="121"/>
  <c r="X28" i="121"/>
  <c r="W28" i="121"/>
  <c r="V28" i="121"/>
  <c r="U28" i="121"/>
  <c r="T28" i="121"/>
  <c r="S28" i="121"/>
  <c r="R28" i="121"/>
  <c r="Q28" i="121"/>
  <c r="P28" i="121"/>
  <c r="O28" i="121"/>
  <c r="N28" i="121"/>
  <c r="M28" i="121"/>
  <c r="L28" i="121"/>
  <c r="K28" i="121"/>
  <c r="J28" i="121"/>
  <c r="I28" i="121"/>
  <c r="H28" i="121"/>
  <c r="G28" i="121"/>
  <c r="F28" i="121"/>
  <c r="E28" i="121"/>
  <c r="D28" i="121"/>
  <c r="C28" i="121"/>
  <c r="B28" i="121"/>
  <c r="AA27" i="121"/>
  <c r="Z25" i="121"/>
  <c r="Z30" i="121" s="1"/>
  <c r="Z32" i="121" s="1"/>
  <c r="Y25" i="121"/>
  <c r="Y30" i="121" s="1"/>
  <c r="Y32" i="121" s="1"/>
  <c r="X25" i="121"/>
  <c r="W25" i="121"/>
  <c r="W30" i="121" s="1"/>
  <c r="W32" i="121" s="1"/>
  <c r="V25" i="121"/>
  <c r="V30" i="121" s="1"/>
  <c r="V32" i="121" s="1"/>
  <c r="U25" i="121"/>
  <c r="T25" i="121"/>
  <c r="T30" i="121" s="1"/>
  <c r="T32" i="121" s="1"/>
  <c r="S25" i="121"/>
  <c r="R25" i="121"/>
  <c r="R30" i="121" s="1"/>
  <c r="R32" i="121" s="1"/>
  <c r="Q25" i="121"/>
  <c r="Q30" i="121" s="1"/>
  <c r="Q32" i="121" s="1"/>
  <c r="P25" i="121"/>
  <c r="O25" i="121"/>
  <c r="O30" i="121" s="1"/>
  <c r="O32" i="121" s="1"/>
  <c r="N25" i="121"/>
  <c r="N30" i="121" s="1"/>
  <c r="N32" i="121" s="1"/>
  <c r="M25" i="121"/>
  <c r="L25" i="121"/>
  <c r="L30" i="121" s="1"/>
  <c r="L32" i="121" s="1"/>
  <c r="K25" i="121"/>
  <c r="J25" i="121"/>
  <c r="J30" i="121" s="1"/>
  <c r="J32" i="121" s="1"/>
  <c r="I25" i="121"/>
  <c r="I30" i="121" s="1"/>
  <c r="I32" i="121" s="1"/>
  <c r="H25" i="121"/>
  <c r="H30" i="121" s="1"/>
  <c r="H32" i="121" s="1"/>
  <c r="G25" i="121"/>
  <c r="G30" i="121" s="1"/>
  <c r="G32" i="121" s="1"/>
  <c r="F25" i="121"/>
  <c r="F30" i="121" s="1"/>
  <c r="F32" i="121" s="1"/>
  <c r="E25" i="121"/>
  <c r="D25" i="121"/>
  <c r="D30" i="121" s="1"/>
  <c r="D32" i="121" s="1"/>
  <c r="C25" i="121"/>
  <c r="B25" i="121"/>
  <c r="B30" i="121" s="1"/>
  <c r="B32" i="121" s="1"/>
  <c r="AA24" i="121"/>
  <c r="AA23" i="121"/>
  <c r="AA22" i="121"/>
  <c r="AA21" i="121"/>
  <c r="AA20" i="121"/>
  <c r="AA19" i="121"/>
  <c r="AA18" i="121"/>
  <c r="M31" i="121" l="1"/>
  <c r="C51" i="121"/>
  <c r="F72" i="121"/>
  <c r="C31" i="121"/>
  <c r="P31" i="121"/>
  <c r="E31" i="121"/>
  <c r="E72" i="121"/>
  <c r="S51" i="121"/>
  <c r="X31" i="121"/>
  <c r="S31" i="121"/>
  <c r="B72" i="121"/>
  <c r="Y31" i="121"/>
  <c r="I51" i="121"/>
  <c r="C72" i="121"/>
  <c r="Q31" i="121"/>
  <c r="U31" i="121"/>
  <c r="K31" i="121"/>
  <c r="H51" i="121"/>
  <c r="H31" i="121"/>
  <c r="P30" i="121"/>
  <c r="P32" i="121" s="1"/>
  <c r="G51" i="121"/>
  <c r="B31" i="121"/>
  <c r="J31" i="121"/>
  <c r="R31" i="121"/>
  <c r="Z31" i="121"/>
  <c r="U30" i="121"/>
  <c r="U32" i="121" s="1"/>
  <c r="E30" i="121"/>
  <c r="E32" i="121" s="1"/>
  <c r="J45" i="121"/>
  <c r="J46" i="121" s="1"/>
  <c r="B51" i="121"/>
  <c r="Q51" i="121"/>
  <c r="G66" i="121"/>
  <c r="G69" i="121" s="1"/>
  <c r="F31" i="121"/>
  <c r="N31" i="121"/>
  <c r="V31" i="121"/>
  <c r="M30" i="121"/>
  <c r="M32" i="121" s="1"/>
  <c r="E51" i="121"/>
  <c r="B50" i="121"/>
  <c r="B52" i="121" s="1"/>
  <c r="G31" i="121"/>
  <c r="O31" i="121"/>
  <c r="W31" i="121"/>
  <c r="F51" i="121"/>
  <c r="C50" i="121"/>
  <c r="C52" i="121" s="1"/>
  <c r="I31" i="121"/>
  <c r="AA25" i="121"/>
  <c r="AA28" i="121" s="1"/>
  <c r="T45" i="121"/>
  <c r="B71" i="121"/>
  <c r="B73" i="121" s="1"/>
  <c r="L31" i="121"/>
  <c r="S50" i="121"/>
  <c r="S52" i="121" s="1"/>
  <c r="X30" i="121"/>
  <c r="X32" i="121" s="1"/>
  <c r="R51" i="121"/>
  <c r="C71" i="121"/>
  <c r="C73" i="121" s="1"/>
  <c r="T31" i="121"/>
  <c r="D72" i="121"/>
  <c r="D51" i="121"/>
  <c r="C30" i="121"/>
  <c r="C32" i="121" s="1"/>
  <c r="K30" i="121"/>
  <c r="K32" i="121" s="1"/>
  <c r="S30" i="121"/>
  <c r="S32" i="121" s="1"/>
  <c r="D31" i="121"/>
  <c r="J48" i="121" l="1"/>
  <c r="G67" i="121"/>
  <c r="AA26" i="121"/>
  <c r="T46" i="121"/>
  <c r="T48" i="121"/>
  <c r="F70" i="120"/>
  <c r="E70" i="120"/>
  <c r="D70" i="120"/>
  <c r="C70" i="120"/>
  <c r="B70" i="120"/>
  <c r="F69" i="120"/>
  <c r="E69" i="120"/>
  <c r="D69" i="120"/>
  <c r="C69" i="120"/>
  <c r="B69" i="120"/>
  <c r="G68" i="120"/>
  <c r="F66" i="120"/>
  <c r="F71" i="120" s="1"/>
  <c r="F73" i="120" s="1"/>
  <c r="E66" i="120"/>
  <c r="E71" i="120" s="1"/>
  <c r="E73" i="120" s="1"/>
  <c r="D66" i="120"/>
  <c r="D71" i="120" s="1"/>
  <c r="D73" i="120" s="1"/>
  <c r="C66" i="120"/>
  <c r="C71" i="120" s="1"/>
  <c r="C73" i="120" s="1"/>
  <c r="B66" i="120"/>
  <c r="G65" i="120"/>
  <c r="G64" i="120"/>
  <c r="G63" i="120"/>
  <c r="G62" i="120"/>
  <c r="G61" i="120"/>
  <c r="G60" i="120"/>
  <c r="G59" i="120"/>
  <c r="S49" i="120"/>
  <c r="R49" i="120"/>
  <c r="Q49" i="120"/>
  <c r="I49" i="120"/>
  <c r="H49" i="120"/>
  <c r="G49" i="120"/>
  <c r="F49" i="120"/>
  <c r="E49" i="120"/>
  <c r="D49" i="120"/>
  <c r="C49" i="120"/>
  <c r="B49" i="120"/>
  <c r="S48" i="120"/>
  <c r="R48" i="120"/>
  <c r="Q48" i="120"/>
  <c r="I48" i="120"/>
  <c r="H48" i="120"/>
  <c r="G48" i="120"/>
  <c r="F48" i="120"/>
  <c r="E48" i="120"/>
  <c r="D48" i="120"/>
  <c r="C48" i="120"/>
  <c r="B48" i="120"/>
  <c r="T47" i="120"/>
  <c r="J47" i="120"/>
  <c r="S45" i="120"/>
  <c r="R45" i="120"/>
  <c r="R50" i="120" s="1"/>
  <c r="R52" i="120" s="1"/>
  <c r="Q45" i="120"/>
  <c r="Q50" i="120" s="1"/>
  <c r="Q52" i="120" s="1"/>
  <c r="I45" i="120"/>
  <c r="I50" i="120" s="1"/>
  <c r="I52" i="120" s="1"/>
  <c r="H45" i="120"/>
  <c r="H50" i="120" s="1"/>
  <c r="H52" i="120" s="1"/>
  <c r="G45" i="120"/>
  <c r="G50" i="120" s="1"/>
  <c r="G52" i="120" s="1"/>
  <c r="F45" i="120"/>
  <c r="F50" i="120" s="1"/>
  <c r="F52" i="120" s="1"/>
  <c r="E45" i="120"/>
  <c r="E50" i="120" s="1"/>
  <c r="E52" i="120" s="1"/>
  <c r="D45" i="120"/>
  <c r="D50" i="120" s="1"/>
  <c r="D52" i="120" s="1"/>
  <c r="C45" i="120"/>
  <c r="C50" i="120" s="1"/>
  <c r="C52" i="120" s="1"/>
  <c r="B45" i="120"/>
  <c r="B50" i="120" s="1"/>
  <c r="B52" i="120" s="1"/>
  <c r="T44" i="120"/>
  <c r="J44" i="120"/>
  <c r="T43" i="120"/>
  <c r="J43" i="120"/>
  <c r="T42" i="120"/>
  <c r="J42" i="120"/>
  <c r="T41" i="120"/>
  <c r="J41" i="120"/>
  <c r="T40" i="120"/>
  <c r="J40" i="120"/>
  <c r="T39" i="120"/>
  <c r="J39" i="120"/>
  <c r="T38" i="120"/>
  <c r="J38" i="120"/>
  <c r="Z29" i="120"/>
  <c r="Y29" i="120"/>
  <c r="X29" i="120"/>
  <c r="W29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B29" i="120"/>
  <c r="Z28" i="120"/>
  <c r="Y28" i="120"/>
  <c r="X28" i="120"/>
  <c r="W28" i="120"/>
  <c r="V28" i="120"/>
  <c r="U28" i="120"/>
  <c r="T28" i="120"/>
  <c r="S28" i="120"/>
  <c r="R28" i="120"/>
  <c r="Q28" i="120"/>
  <c r="P28" i="120"/>
  <c r="O28" i="120"/>
  <c r="N28" i="120"/>
  <c r="M28" i="120"/>
  <c r="L28" i="120"/>
  <c r="K28" i="120"/>
  <c r="J28" i="120"/>
  <c r="I28" i="120"/>
  <c r="H28" i="120"/>
  <c r="G28" i="120"/>
  <c r="F28" i="120"/>
  <c r="E28" i="120"/>
  <c r="D28" i="120"/>
  <c r="C28" i="120"/>
  <c r="B28" i="120"/>
  <c r="AA27" i="120"/>
  <c r="Z25" i="120"/>
  <c r="Z30" i="120" s="1"/>
  <c r="Z32" i="120" s="1"/>
  <c r="Y25" i="120"/>
  <c r="Y30" i="120" s="1"/>
  <c r="Y32" i="120" s="1"/>
  <c r="X25" i="120"/>
  <c r="W25" i="120"/>
  <c r="V25" i="120"/>
  <c r="U25" i="120"/>
  <c r="U30" i="120" s="1"/>
  <c r="U32" i="120" s="1"/>
  <c r="T25" i="120"/>
  <c r="T30" i="120" s="1"/>
  <c r="T32" i="120" s="1"/>
  <c r="S25" i="120"/>
  <c r="R25" i="120"/>
  <c r="R30" i="120" s="1"/>
  <c r="R32" i="120" s="1"/>
  <c r="Q25" i="120"/>
  <c r="Q30" i="120" s="1"/>
  <c r="Q32" i="120" s="1"/>
  <c r="P25" i="120"/>
  <c r="P30" i="120" s="1"/>
  <c r="P32" i="120" s="1"/>
  <c r="O25" i="120"/>
  <c r="N25" i="120"/>
  <c r="M25" i="120"/>
  <c r="M30" i="120" s="1"/>
  <c r="M32" i="120" s="1"/>
  <c r="L25" i="120"/>
  <c r="L30" i="120" s="1"/>
  <c r="L32" i="120" s="1"/>
  <c r="K25" i="120"/>
  <c r="J25" i="120"/>
  <c r="J30" i="120" s="1"/>
  <c r="J32" i="120" s="1"/>
  <c r="I25" i="120"/>
  <c r="I30" i="120" s="1"/>
  <c r="I32" i="120" s="1"/>
  <c r="H25" i="120"/>
  <c r="G25" i="120"/>
  <c r="F25" i="120"/>
  <c r="E25" i="120"/>
  <c r="E30" i="120" s="1"/>
  <c r="E32" i="120" s="1"/>
  <c r="D25" i="120"/>
  <c r="D30" i="120" s="1"/>
  <c r="D32" i="120" s="1"/>
  <c r="C25" i="120"/>
  <c r="B25" i="120"/>
  <c r="B30" i="120" s="1"/>
  <c r="B32" i="120" s="1"/>
  <c r="AA24" i="120"/>
  <c r="AA23" i="120"/>
  <c r="AA22" i="120"/>
  <c r="AA21" i="120"/>
  <c r="AA20" i="120"/>
  <c r="AA19" i="120"/>
  <c r="AA18" i="120"/>
  <c r="C72" i="120" l="1"/>
  <c r="N31" i="120"/>
  <c r="V31" i="120"/>
  <c r="K31" i="120"/>
  <c r="W31" i="120"/>
  <c r="S51" i="120"/>
  <c r="N30" i="120"/>
  <c r="N32" i="120" s="1"/>
  <c r="R31" i="120"/>
  <c r="R51" i="120"/>
  <c r="T31" i="120"/>
  <c r="J45" i="120"/>
  <c r="J48" i="120" s="1"/>
  <c r="C51" i="120"/>
  <c r="C31" i="120"/>
  <c r="O31" i="120"/>
  <c r="D51" i="120"/>
  <c r="P31" i="120"/>
  <c r="B51" i="120"/>
  <c r="J31" i="120"/>
  <c r="L31" i="120"/>
  <c r="V30" i="120"/>
  <c r="V32" i="120" s="1"/>
  <c r="E51" i="120"/>
  <c r="B72" i="120"/>
  <c r="B31" i="120"/>
  <c r="G51" i="120"/>
  <c r="F31" i="120"/>
  <c r="H51" i="120"/>
  <c r="G66" i="120"/>
  <c r="G67" i="120" s="1"/>
  <c r="G31" i="120"/>
  <c r="S31" i="120"/>
  <c r="D31" i="120"/>
  <c r="F30" i="120"/>
  <c r="F32" i="120" s="1"/>
  <c r="I51" i="120"/>
  <c r="I31" i="120"/>
  <c r="F51" i="120"/>
  <c r="Z31" i="120"/>
  <c r="H31" i="120"/>
  <c r="Q31" i="120"/>
  <c r="H30" i="120"/>
  <c r="H32" i="120" s="1"/>
  <c r="Q51" i="120"/>
  <c r="X31" i="120"/>
  <c r="Y31" i="120"/>
  <c r="X30" i="120"/>
  <c r="X32" i="120" s="1"/>
  <c r="AA25" i="120"/>
  <c r="AA26" i="120" s="1"/>
  <c r="E31" i="120"/>
  <c r="M31" i="120"/>
  <c r="U31" i="120"/>
  <c r="S50" i="120"/>
  <c r="S52" i="120" s="1"/>
  <c r="D72" i="120"/>
  <c r="G30" i="120"/>
  <c r="G32" i="120" s="1"/>
  <c r="O30" i="120"/>
  <c r="O32" i="120" s="1"/>
  <c r="W30" i="120"/>
  <c r="W32" i="120" s="1"/>
  <c r="T45" i="120"/>
  <c r="B71" i="120"/>
  <c r="B73" i="120" s="1"/>
  <c r="E72" i="120"/>
  <c r="F72" i="120"/>
  <c r="C30" i="120"/>
  <c r="C32" i="120" s="1"/>
  <c r="K30" i="120"/>
  <c r="K32" i="120" s="1"/>
  <c r="S30" i="120"/>
  <c r="S32" i="120" s="1"/>
  <c r="J46" i="120" l="1"/>
  <c r="G69" i="120"/>
  <c r="AA28" i="120"/>
  <c r="T46" i="120"/>
  <c r="T48" i="120"/>
  <c r="AA24" i="119" l="1"/>
  <c r="AA23" i="119"/>
  <c r="AA20" i="119"/>
  <c r="AA27" i="119" l="1"/>
  <c r="AA19" i="119"/>
  <c r="AA21" i="119"/>
  <c r="AA22" i="119"/>
  <c r="AA18" i="119"/>
  <c r="Z29" i="119"/>
  <c r="Z28" i="119"/>
  <c r="Z25" i="119"/>
  <c r="Z30" i="119" s="1"/>
  <c r="Z32" i="119" s="1"/>
  <c r="F70" i="119"/>
  <c r="E70" i="119"/>
  <c r="D70" i="119"/>
  <c r="C70" i="119"/>
  <c r="B70" i="119"/>
  <c r="F69" i="119"/>
  <c r="E69" i="119"/>
  <c r="D69" i="119"/>
  <c r="C69" i="119"/>
  <c r="B69" i="119"/>
  <c r="G68" i="119"/>
  <c r="F66" i="119"/>
  <c r="F71" i="119" s="1"/>
  <c r="F73" i="119" s="1"/>
  <c r="E66" i="119"/>
  <c r="E71" i="119" s="1"/>
  <c r="E73" i="119" s="1"/>
  <c r="D66" i="119"/>
  <c r="C66" i="119"/>
  <c r="C71" i="119" s="1"/>
  <c r="C73" i="119" s="1"/>
  <c r="B66" i="119"/>
  <c r="B71" i="119" s="1"/>
  <c r="B73" i="119" s="1"/>
  <c r="G65" i="119"/>
  <c r="G64" i="119"/>
  <c r="G63" i="119"/>
  <c r="G62" i="119"/>
  <c r="G61" i="119"/>
  <c r="G60" i="119"/>
  <c r="G59" i="119"/>
  <c r="S49" i="119"/>
  <c r="R49" i="119"/>
  <c r="Q49" i="119"/>
  <c r="I49" i="119"/>
  <c r="H49" i="119"/>
  <c r="G49" i="119"/>
  <c r="F49" i="119"/>
  <c r="E49" i="119"/>
  <c r="D49" i="119"/>
  <c r="C49" i="119"/>
  <c r="B49" i="119"/>
  <c r="S48" i="119"/>
  <c r="R48" i="119"/>
  <c r="Q48" i="119"/>
  <c r="I48" i="119"/>
  <c r="H48" i="119"/>
  <c r="G48" i="119"/>
  <c r="F48" i="119"/>
  <c r="E48" i="119"/>
  <c r="D48" i="119"/>
  <c r="C48" i="119"/>
  <c r="B48" i="119"/>
  <c r="T47" i="119"/>
  <c r="J47" i="119"/>
  <c r="S45" i="119"/>
  <c r="S50" i="119" s="1"/>
  <c r="S52" i="119" s="1"/>
  <c r="R45" i="119"/>
  <c r="R50" i="119" s="1"/>
  <c r="R52" i="119" s="1"/>
  <c r="Q45" i="119"/>
  <c r="Q50" i="119" s="1"/>
  <c r="Q52" i="119" s="1"/>
  <c r="I45" i="119"/>
  <c r="I50" i="119" s="1"/>
  <c r="I52" i="119" s="1"/>
  <c r="H45" i="119"/>
  <c r="H50" i="119" s="1"/>
  <c r="H52" i="119" s="1"/>
  <c r="G45" i="119"/>
  <c r="G50" i="119" s="1"/>
  <c r="G52" i="119" s="1"/>
  <c r="F45" i="119"/>
  <c r="F50" i="119" s="1"/>
  <c r="F52" i="119" s="1"/>
  <c r="E45" i="119"/>
  <c r="E50" i="119" s="1"/>
  <c r="E52" i="119" s="1"/>
  <c r="D45" i="119"/>
  <c r="D50" i="119" s="1"/>
  <c r="D52" i="119" s="1"/>
  <c r="C45" i="119"/>
  <c r="C50" i="119" s="1"/>
  <c r="C52" i="119" s="1"/>
  <c r="B45" i="119"/>
  <c r="B50" i="119" s="1"/>
  <c r="B52" i="119" s="1"/>
  <c r="T44" i="119"/>
  <c r="J44" i="119"/>
  <c r="T43" i="119"/>
  <c r="J43" i="119"/>
  <c r="T42" i="119"/>
  <c r="J42" i="119"/>
  <c r="T41" i="119"/>
  <c r="J41" i="119"/>
  <c r="T40" i="119"/>
  <c r="J40" i="119"/>
  <c r="T39" i="119"/>
  <c r="J39" i="119"/>
  <c r="T38" i="119"/>
  <c r="J38" i="119"/>
  <c r="Y29" i="119"/>
  <c r="X29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B29" i="119"/>
  <c r="Y28" i="119"/>
  <c r="X28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B28" i="119"/>
  <c r="Y25" i="119"/>
  <c r="Y30" i="119" s="1"/>
  <c r="Y32" i="119" s="1"/>
  <c r="X25" i="119"/>
  <c r="X30" i="119" s="1"/>
  <c r="X32" i="119" s="1"/>
  <c r="W25" i="119"/>
  <c r="W30" i="119" s="1"/>
  <c r="W32" i="119" s="1"/>
  <c r="V25" i="119"/>
  <c r="V30" i="119" s="1"/>
  <c r="V32" i="119" s="1"/>
  <c r="U25" i="119"/>
  <c r="U30" i="119" s="1"/>
  <c r="U32" i="119" s="1"/>
  <c r="T25" i="119"/>
  <c r="T30" i="119" s="1"/>
  <c r="T32" i="119" s="1"/>
  <c r="S25" i="119"/>
  <c r="S30" i="119" s="1"/>
  <c r="S32" i="119" s="1"/>
  <c r="R25" i="119"/>
  <c r="R30" i="119" s="1"/>
  <c r="R32" i="119" s="1"/>
  <c r="Q25" i="119"/>
  <c r="Q30" i="119" s="1"/>
  <c r="Q32" i="119" s="1"/>
  <c r="P25" i="119"/>
  <c r="P30" i="119" s="1"/>
  <c r="P32" i="119" s="1"/>
  <c r="O25" i="119"/>
  <c r="O30" i="119" s="1"/>
  <c r="O32" i="119" s="1"/>
  <c r="N25" i="119"/>
  <c r="N30" i="119" s="1"/>
  <c r="N32" i="119" s="1"/>
  <c r="M25" i="119"/>
  <c r="M30" i="119" s="1"/>
  <c r="M32" i="119" s="1"/>
  <c r="L25" i="119"/>
  <c r="L30" i="119" s="1"/>
  <c r="L32" i="119" s="1"/>
  <c r="K25" i="119"/>
  <c r="K30" i="119" s="1"/>
  <c r="K32" i="119" s="1"/>
  <c r="J25" i="119"/>
  <c r="J30" i="119" s="1"/>
  <c r="J32" i="119" s="1"/>
  <c r="I25" i="119"/>
  <c r="I30" i="119" s="1"/>
  <c r="I32" i="119" s="1"/>
  <c r="H25" i="119"/>
  <c r="H30" i="119" s="1"/>
  <c r="H32" i="119" s="1"/>
  <c r="G25" i="119"/>
  <c r="G30" i="119" s="1"/>
  <c r="G32" i="119" s="1"/>
  <c r="F25" i="119"/>
  <c r="F30" i="119" s="1"/>
  <c r="F32" i="119" s="1"/>
  <c r="E25" i="119"/>
  <c r="E30" i="119" s="1"/>
  <c r="E32" i="119" s="1"/>
  <c r="D25" i="119"/>
  <c r="D30" i="119" s="1"/>
  <c r="D32" i="119" s="1"/>
  <c r="C25" i="119"/>
  <c r="C30" i="119" s="1"/>
  <c r="C32" i="119" s="1"/>
  <c r="B25" i="119"/>
  <c r="B30" i="119" s="1"/>
  <c r="B32" i="119" s="1"/>
  <c r="Z19" i="116"/>
  <c r="Z20" i="116"/>
  <c r="Z21" i="116"/>
  <c r="Z22" i="116"/>
  <c r="Z23" i="116"/>
  <c r="Z24" i="116"/>
  <c r="Z18" i="116"/>
  <c r="D72" i="119" l="1"/>
  <c r="B72" i="119"/>
  <c r="Q51" i="119"/>
  <c r="C72" i="119"/>
  <c r="B51" i="119"/>
  <c r="G66" i="119"/>
  <c r="K31" i="119"/>
  <c r="G51" i="119"/>
  <c r="C31" i="119"/>
  <c r="O31" i="119"/>
  <c r="R51" i="119"/>
  <c r="C51" i="119"/>
  <c r="S31" i="119"/>
  <c r="D51" i="119"/>
  <c r="W31" i="119"/>
  <c r="T45" i="119"/>
  <c r="T48" i="119" s="1"/>
  <c r="S51" i="119"/>
  <c r="Z31" i="119"/>
  <c r="T31" i="119"/>
  <c r="AA25" i="119"/>
  <c r="AA28" i="119" s="1"/>
  <c r="G31" i="119"/>
  <c r="I31" i="119"/>
  <c r="Q31" i="119"/>
  <c r="Y31" i="119"/>
  <c r="I51" i="119"/>
  <c r="B31" i="119"/>
  <c r="J31" i="119"/>
  <c r="R31" i="119"/>
  <c r="E72" i="119"/>
  <c r="H31" i="119"/>
  <c r="H51" i="119"/>
  <c r="F72" i="119"/>
  <c r="E31" i="119"/>
  <c r="M31" i="119"/>
  <c r="U31" i="119"/>
  <c r="E51" i="119"/>
  <c r="P31" i="119"/>
  <c r="X31" i="119"/>
  <c r="D31" i="119"/>
  <c r="L31" i="119"/>
  <c r="F31" i="119"/>
  <c r="N31" i="119"/>
  <c r="V31" i="119"/>
  <c r="F51" i="119"/>
  <c r="D71" i="119"/>
  <c r="D73" i="119" s="1"/>
  <c r="G67" i="119"/>
  <c r="G69" i="119"/>
  <c r="J45" i="119"/>
  <c r="T46" i="119" l="1"/>
  <c r="AA26" i="119"/>
  <c r="J48" i="119"/>
  <c r="J46" i="119"/>
  <c r="F70" i="117" l="1"/>
  <c r="E70" i="117"/>
  <c r="D70" i="117"/>
  <c r="C70" i="117"/>
  <c r="B70" i="117"/>
  <c r="F69" i="117"/>
  <c r="E69" i="117"/>
  <c r="D69" i="117"/>
  <c r="C69" i="117"/>
  <c r="B69" i="117"/>
  <c r="G68" i="117"/>
  <c r="F66" i="117"/>
  <c r="F71" i="117" s="1"/>
  <c r="F73" i="117" s="1"/>
  <c r="E66" i="117"/>
  <c r="E71" i="117" s="1"/>
  <c r="E73" i="117" s="1"/>
  <c r="D66" i="117"/>
  <c r="D71" i="117" s="1"/>
  <c r="D73" i="117" s="1"/>
  <c r="C66" i="117"/>
  <c r="C71" i="117" s="1"/>
  <c r="C73" i="117" s="1"/>
  <c r="B66" i="117"/>
  <c r="B71" i="117" s="1"/>
  <c r="B73" i="117" s="1"/>
  <c r="G65" i="117"/>
  <c r="G64" i="117"/>
  <c r="G63" i="117"/>
  <c r="G62" i="117"/>
  <c r="G61" i="117"/>
  <c r="G60" i="117"/>
  <c r="G59" i="117"/>
  <c r="S49" i="117"/>
  <c r="R49" i="117"/>
  <c r="Q49" i="117"/>
  <c r="I49" i="117"/>
  <c r="H49" i="117"/>
  <c r="G49" i="117"/>
  <c r="F49" i="117"/>
  <c r="E49" i="117"/>
  <c r="D49" i="117"/>
  <c r="C49" i="117"/>
  <c r="B49" i="117"/>
  <c r="S48" i="117"/>
  <c r="R48" i="117"/>
  <c r="Q48" i="117"/>
  <c r="I48" i="117"/>
  <c r="H48" i="117"/>
  <c r="G48" i="117"/>
  <c r="F48" i="117"/>
  <c r="E48" i="117"/>
  <c r="D48" i="117"/>
  <c r="C48" i="117"/>
  <c r="B48" i="117"/>
  <c r="T47" i="117"/>
  <c r="J47" i="117"/>
  <c r="S45" i="117"/>
  <c r="S50" i="117" s="1"/>
  <c r="S52" i="117" s="1"/>
  <c r="R45" i="117"/>
  <c r="R50" i="117" s="1"/>
  <c r="R52" i="117" s="1"/>
  <c r="Q45" i="117"/>
  <c r="Q50" i="117" s="1"/>
  <c r="Q52" i="117" s="1"/>
  <c r="I45" i="117"/>
  <c r="I50" i="117" s="1"/>
  <c r="I52" i="117" s="1"/>
  <c r="H45" i="117"/>
  <c r="H50" i="117" s="1"/>
  <c r="H52" i="117" s="1"/>
  <c r="G45" i="117"/>
  <c r="G50" i="117" s="1"/>
  <c r="G52" i="117" s="1"/>
  <c r="F45" i="117"/>
  <c r="F50" i="117" s="1"/>
  <c r="F52" i="117" s="1"/>
  <c r="E45" i="117"/>
  <c r="E50" i="117" s="1"/>
  <c r="E52" i="117" s="1"/>
  <c r="D45" i="117"/>
  <c r="D50" i="117" s="1"/>
  <c r="D52" i="117" s="1"/>
  <c r="C45" i="117"/>
  <c r="C50" i="117" s="1"/>
  <c r="C52" i="117" s="1"/>
  <c r="B45" i="117"/>
  <c r="B50" i="117" s="1"/>
  <c r="B52" i="117" s="1"/>
  <c r="T44" i="117"/>
  <c r="J44" i="117"/>
  <c r="T43" i="117"/>
  <c r="J43" i="117"/>
  <c r="T42" i="117"/>
  <c r="J42" i="117"/>
  <c r="T41" i="117"/>
  <c r="J41" i="117"/>
  <c r="T40" i="117"/>
  <c r="J40" i="117"/>
  <c r="T39" i="117"/>
  <c r="J39" i="117"/>
  <c r="T38" i="117"/>
  <c r="J38" i="117"/>
  <c r="Y29" i="117"/>
  <c r="X29" i="117"/>
  <c r="W29" i="117"/>
  <c r="V29" i="117"/>
  <c r="U29" i="117"/>
  <c r="T29" i="117"/>
  <c r="S29" i="117"/>
  <c r="R29" i="117"/>
  <c r="Q29" i="117"/>
  <c r="P29" i="117"/>
  <c r="O29" i="117"/>
  <c r="N29" i="117"/>
  <c r="M29" i="117"/>
  <c r="L29" i="117"/>
  <c r="K29" i="117"/>
  <c r="J29" i="117"/>
  <c r="I29" i="117"/>
  <c r="H29" i="117"/>
  <c r="G29" i="117"/>
  <c r="F29" i="117"/>
  <c r="E29" i="117"/>
  <c r="D29" i="117"/>
  <c r="C29" i="117"/>
  <c r="B29" i="117"/>
  <c r="Y28" i="117"/>
  <c r="X28" i="117"/>
  <c r="W28" i="117"/>
  <c r="V28" i="117"/>
  <c r="U28" i="117"/>
  <c r="T28" i="117"/>
  <c r="S28" i="117"/>
  <c r="R28" i="117"/>
  <c r="Q28" i="117"/>
  <c r="P28" i="117"/>
  <c r="O28" i="117"/>
  <c r="N28" i="117"/>
  <c r="M28" i="117"/>
  <c r="L28" i="117"/>
  <c r="K28" i="117"/>
  <c r="J28" i="117"/>
  <c r="I28" i="117"/>
  <c r="H28" i="117"/>
  <c r="G28" i="117"/>
  <c r="F28" i="117"/>
  <c r="E28" i="117"/>
  <c r="D28" i="117"/>
  <c r="C28" i="117"/>
  <c r="B28" i="117"/>
  <c r="Z27" i="117"/>
  <c r="Y25" i="117"/>
  <c r="Y30" i="117" s="1"/>
  <c r="Y32" i="117" s="1"/>
  <c r="X25" i="117"/>
  <c r="X30" i="117" s="1"/>
  <c r="X32" i="117" s="1"/>
  <c r="W25" i="117"/>
  <c r="W30" i="117" s="1"/>
  <c r="W32" i="117" s="1"/>
  <c r="V25" i="117"/>
  <c r="V30" i="117" s="1"/>
  <c r="V32" i="117" s="1"/>
  <c r="U25" i="117"/>
  <c r="U30" i="117" s="1"/>
  <c r="U32" i="117" s="1"/>
  <c r="T25" i="117"/>
  <c r="T30" i="117" s="1"/>
  <c r="T32" i="117" s="1"/>
  <c r="S25" i="117"/>
  <c r="S30" i="117" s="1"/>
  <c r="S32" i="117" s="1"/>
  <c r="R25" i="117"/>
  <c r="R30" i="117" s="1"/>
  <c r="R32" i="117" s="1"/>
  <c r="Q25" i="117"/>
  <c r="Q30" i="117" s="1"/>
  <c r="Q32" i="117" s="1"/>
  <c r="P25" i="117"/>
  <c r="P30" i="117" s="1"/>
  <c r="P32" i="117" s="1"/>
  <c r="O25" i="117"/>
  <c r="O30" i="117" s="1"/>
  <c r="O32" i="117" s="1"/>
  <c r="N25" i="117"/>
  <c r="N30" i="117" s="1"/>
  <c r="N32" i="117" s="1"/>
  <c r="M25" i="117"/>
  <c r="M30" i="117" s="1"/>
  <c r="M32" i="117" s="1"/>
  <c r="L25" i="117"/>
  <c r="L30" i="117" s="1"/>
  <c r="L32" i="117" s="1"/>
  <c r="K25" i="117"/>
  <c r="K30" i="117" s="1"/>
  <c r="K32" i="117" s="1"/>
  <c r="J25" i="117"/>
  <c r="J30" i="117" s="1"/>
  <c r="J32" i="117" s="1"/>
  <c r="I25" i="117"/>
  <c r="I30" i="117" s="1"/>
  <c r="I32" i="117" s="1"/>
  <c r="H25" i="117"/>
  <c r="H30" i="117" s="1"/>
  <c r="H32" i="117" s="1"/>
  <c r="G25" i="117"/>
  <c r="G30" i="117" s="1"/>
  <c r="G32" i="117" s="1"/>
  <c r="F25" i="117"/>
  <c r="F30" i="117" s="1"/>
  <c r="F32" i="117" s="1"/>
  <c r="E25" i="117"/>
  <c r="E30" i="117" s="1"/>
  <c r="E32" i="117" s="1"/>
  <c r="D25" i="117"/>
  <c r="D30" i="117" s="1"/>
  <c r="D32" i="117" s="1"/>
  <c r="C25" i="117"/>
  <c r="C30" i="117" s="1"/>
  <c r="C32" i="117" s="1"/>
  <c r="B25" i="117"/>
  <c r="B30" i="117" s="1"/>
  <c r="B32" i="117" s="1"/>
  <c r="Z24" i="117"/>
  <c r="Z23" i="117"/>
  <c r="Z22" i="117"/>
  <c r="Z21" i="117"/>
  <c r="Z20" i="117"/>
  <c r="Z19" i="117"/>
  <c r="Z18" i="117"/>
  <c r="B72" i="117" l="1"/>
  <c r="C72" i="117"/>
  <c r="E72" i="117"/>
  <c r="G66" i="117"/>
  <c r="G69" i="117" s="1"/>
  <c r="F72" i="117"/>
  <c r="Q51" i="117"/>
  <c r="S51" i="117"/>
  <c r="R51" i="117"/>
  <c r="E51" i="117"/>
  <c r="F51" i="117"/>
  <c r="G51" i="117"/>
  <c r="C51" i="117"/>
  <c r="H51" i="117"/>
  <c r="I51" i="117"/>
  <c r="B51" i="117"/>
  <c r="D51" i="117"/>
  <c r="D31" i="117"/>
  <c r="L31" i="117"/>
  <c r="T31" i="117"/>
  <c r="H31" i="117"/>
  <c r="P31" i="117"/>
  <c r="X31" i="117"/>
  <c r="Z25" i="117"/>
  <c r="Z28" i="117" s="1"/>
  <c r="B31" i="117"/>
  <c r="J31" i="117"/>
  <c r="R31" i="117"/>
  <c r="I31" i="117"/>
  <c r="Q31" i="117"/>
  <c r="Y31" i="117"/>
  <c r="C31" i="117"/>
  <c r="K31" i="117"/>
  <c r="S31" i="117"/>
  <c r="E31" i="117"/>
  <c r="M31" i="117"/>
  <c r="U31" i="117"/>
  <c r="F31" i="117"/>
  <c r="N31" i="117"/>
  <c r="V31" i="117"/>
  <c r="G31" i="117"/>
  <c r="O31" i="117"/>
  <c r="W31" i="117"/>
  <c r="D72" i="117"/>
  <c r="T45" i="117"/>
  <c r="J45" i="117"/>
  <c r="C69" i="116"/>
  <c r="D69" i="116"/>
  <c r="E69" i="116"/>
  <c r="F69" i="116"/>
  <c r="B69" i="116"/>
  <c r="S48" i="116"/>
  <c r="R48" i="116"/>
  <c r="Q48" i="116"/>
  <c r="C48" i="116"/>
  <c r="D48" i="116"/>
  <c r="E48" i="116"/>
  <c r="F48" i="116"/>
  <c r="G48" i="116"/>
  <c r="H48" i="116"/>
  <c r="I48" i="116"/>
  <c r="B48" i="116"/>
  <c r="D28" i="116"/>
  <c r="E28" i="116"/>
  <c r="F28" i="116"/>
  <c r="G28" i="116"/>
  <c r="H28" i="116"/>
  <c r="I28" i="116"/>
  <c r="J28" i="116"/>
  <c r="K28" i="116"/>
  <c r="L28" i="116"/>
  <c r="M28" i="116"/>
  <c r="N28" i="116"/>
  <c r="O28" i="116"/>
  <c r="P28" i="116"/>
  <c r="Q28" i="116"/>
  <c r="R28" i="116"/>
  <c r="S28" i="116"/>
  <c r="T28" i="116"/>
  <c r="U28" i="116"/>
  <c r="V28" i="116"/>
  <c r="W28" i="116"/>
  <c r="X28" i="116"/>
  <c r="Y28" i="116"/>
  <c r="C28" i="116"/>
  <c r="B28" i="116"/>
  <c r="G67" i="117" l="1"/>
  <c r="Z26" i="117"/>
  <c r="J48" i="117"/>
  <c r="J46" i="117"/>
  <c r="T46" i="117"/>
  <c r="T48" i="117"/>
  <c r="T47" i="116"/>
  <c r="F70" i="116" l="1"/>
  <c r="E70" i="116"/>
  <c r="D70" i="116"/>
  <c r="C70" i="116"/>
  <c r="B70" i="116"/>
  <c r="G68" i="116"/>
  <c r="F66" i="116"/>
  <c r="F71" i="116" s="1"/>
  <c r="F73" i="116" s="1"/>
  <c r="E66" i="116"/>
  <c r="E71" i="116" s="1"/>
  <c r="E73" i="116" s="1"/>
  <c r="D66" i="116"/>
  <c r="D71" i="116" s="1"/>
  <c r="D73" i="116" s="1"/>
  <c r="C66" i="116"/>
  <c r="C71" i="116" s="1"/>
  <c r="C73" i="116" s="1"/>
  <c r="B66" i="116"/>
  <c r="B71" i="116" s="1"/>
  <c r="B73" i="116" s="1"/>
  <c r="G65" i="116"/>
  <c r="G64" i="116"/>
  <c r="G63" i="116"/>
  <c r="G62" i="116"/>
  <c r="G61" i="116"/>
  <c r="G60" i="116"/>
  <c r="G59" i="116"/>
  <c r="S49" i="116"/>
  <c r="R49" i="116"/>
  <c r="Q49" i="116"/>
  <c r="I49" i="116"/>
  <c r="H49" i="116"/>
  <c r="G49" i="116"/>
  <c r="F49" i="116"/>
  <c r="E49" i="116"/>
  <c r="D49" i="116"/>
  <c r="C49" i="116"/>
  <c r="B49" i="116"/>
  <c r="J47" i="116"/>
  <c r="S45" i="116"/>
  <c r="S50" i="116" s="1"/>
  <c r="S52" i="116" s="1"/>
  <c r="R45" i="116"/>
  <c r="R50" i="116" s="1"/>
  <c r="R52" i="116" s="1"/>
  <c r="Q45" i="116"/>
  <c r="I45" i="116"/>
  <c r="I50" i="116" s="1"/>
  <c r="I52" i="116" s="1"/>
  <c r="H45" i="116"/>
  <c r="H50" i="116" s="1"/>
  <c r="H52" i="116" s="1"/>
  <c r="G45" i="116"/>
  <c r="G50" i="116" s="1"/>
  <c r="G52" i="116" s="1"/>
  <c r="F45" i="116"/>
  <c r="F50" i="116" s="1"/>
  <c r="F52" i="116" s="1"/>
  <c r="E45" i="116"/>
  <c r="E50" i="116" s="1"/>
  <c r="E52" i="116" s="1"/>
  <c r="D45" i="116"/>
  <c r="D50" i="116" s="1"/>
  <c r="D52" i="116" s="1"/>
  <c r="C45" i="116"/>
  <c r="C50" i="116" s="1"/>
  <c r="C52" i="116" s="1"/>
  <c r="B45" i="116"/>
  <c r="B50" i="116" s="1"/>
  <c r="B52" i="116" s="1"/>
  <c r="T44" i="116"/>
  <c r="J44" i="116"/>
  <c r="T43" i="116"/>
  <c r="J43" i="116"/>
  <c r="T42" i="116"/>
  <c r="J42" i="116"/>
  <c r="T41" i="116"/>
  <c r="J41" i="116"/>
  <c r="T40" i="116"/>
  <c r="J40" i="116"/>
  <c r="T39" i="116"/>
  <c r="J39" i="116"/>
  <c r="T38" i="116"/>
  <c r="J38" i="116"/>
  <c r="Y29" i="116"/>
  <c r="X29" i="116"/>
  <c r="W29" i="116"/>
  <c r="V29" i="116"/>
  <c r="U29" i="116"/>
  <c r="T29" i="116"/>
  <c r="S29" i="116"/>
  <c r="R29" i="116"/>
  <c r="Q29" i="116"/>
  <c r="P29" i="116"/>
  <c r="O29" i="116"/>
  <c r="N29" i="116"/>
  <c r="M29" i="116"/>
  <c r="L29" i="116"/>
  <c r="K29" i="116"/>
  <c r="J29" i="116"/>
  <c r="I29" i="116"/>
  <c r="H29" i="116"/>
  <c r="G29" i="116"/>
  <c r="F29" i="116"/>
  <c r="E29" i="116"/>
  <c r="D29" i="116"/>
  <c r="C29" i="116"/>
  <c r="B29" i="116"/>
  <c r="Z27" i="116"/>
  <c r="Y25" i="116"/>
  <c r="Y30" i="116" s="1"/>
  <c r="Y32" i="116" s="1"/>
  <c r="X25" i="116"/>
  <c r="X30" i="116" s="1"/>
  <c r="X32" i="116" s="1"/>
  <c r="W25" i="116"/>
  <c r="W30" i="116" s="1"/>
  <c r="W32" i="116" s="1"/>
  <c r="V25" i="116"/>
  <c r="V30" i="116" s="1"/>
  <c r="V32" i="116" s="1"/>
  <c r="U25" i="116"/>
  <c r="U30" i="116" s="1"/>
  <c r="U32" i="116" s="1"/>
  <c r="T25" i="116"/>
  <c r="T30" i="116" s="1"/>
  <c r="T32" i="116" s="1"/>
  <c r="S25" i="116"/>
  <c r="S30" i="116" s="1"/>
  <c r="S32" i="116" s="1"/>
  <c r="R25" i="116"/>
  <c r="R30" i="116" s="1"/>
  <c r="R32" i="116" s="1"/>
  <c r="Q25" i="116"/>
  <c r="Q30" i="116" s="1"/>
  <c r="Q32" i="116" s="1"/>
  <c r="P25" i="116"/>
  <c r="P30" i="116" s="1"/>
  <c r="P32" i="116" s="1"/>
  <c r="O25" i="116"/>
  <c r="O30" i="116" s="1"/>
  <c r="O32" i="116" s="1"/>
  <c r="N25" i="116"/>
  <c r="N30" i="116" s="1"/>
  <c r="N32" i="116" s="1"/>
  <c r="M25" i="116"/>
  <c r="M30" i="116" s="1"/>
  <c r="M32" i="116" s="1"/>
  <c r="L25" i="116"/>
  <c r="L30" i="116" s="1"/>
  <c r="L32" i="116" s="1"/>
  <c r="K25" i="116"/>
  <c r="K30" i="116" s="1"/>
  <c r="K32" i="116" s="1"/>
  <c r="J25" i="116"/>
  <c r="J30" i="116" s="1"/>
  <c r="J32" i="116" s="1"/>
  <c r="I25" i="116"/>
  <c r="I30" i="116" s="1"/>
  <c r="I32" i="116" s="1"/>
  <c r="H25" i="116"/>
  <c r="H30" i="116" s="1"/>
  <c r="H32" i="116" s="1"/>
  <c r="G25" i="116"/>
  <c r="G30" i="116" s="1"/>
  <c r="G32" i="116" s="1"/>
  <c r="F25" i="116"/>
  <c r="F30" i="116" s="1"/>
  <c r="F32" i="116" s="1"/>
  <c r="E25" i="116"/>
  <c r="E30" i="116" s="1"/>
  <c r="E32" i="116" s="1"/>
  <c r="D25" i="116"/>
  <c r="D30" i="116" s="1"/>
  <c r="D32" i="116" s="1"/>
  <c r="C25" i="116"/>
  <c r="C30" i="116" s="1"/>
  <c r="C32" i="116" s="1"/>
  <c r="B25" i="116"/>
  <c r="B30" i="116" s="1"/>
  <c r="B32" i="116" s="1"/>
  <c r="B72" i="116" l="1"/>
  <c r="Z25" i="116"/>
  <c r="Z28" i="116" s="1"/>
  <c r="B31" i="116"/>
  <c r="J31" i="116"/>
  <c r="R31" i="116"/>
  <c r="I51" i="116"/>
  <c r="F72" i="116"/>
  <c r="D31" i="116"/>
  <c r="L31" i="116"/>
  <c r="T31" i="116"/>
  <c r="C51" i="116"/>
  <c r="R51" i="116"/>
  <c r="G66" i="116"/>
  <c r="G69" i="116" s="1"/>
  <c r="E31" i="116"/>
  <c r="M31" i="116"/>
  <c r="U31" i="116"/>
  <c r="D51" i="116"/>
  <c r="S51" i="116"/>
  <c r="F31" i="116"/>
  <c r="E51" i="116"/>
  <c r="G31" i="116"/>
  <c r="O31" i="116"/>
  <c r="W31" i="116"/>
  <c r="F51" i="116"/>
  <c r="C72" i="116"/>
  <c r="V31" i="116"/>
  <c r="H31" i="116"/>
  <c r="P31" i="116"/>
  <c r="X31" i="116"/>
  <c r="G51" i="116"/>
  <c r="D72" i="116"/>
  <c r="N31" i="116"/>
  <c r="I31" i="116"/>
  <c r="Q31" i="116"/>
  <c r="Y31" i="116"/>
  <c r="T45" i="116"/>
  <c r="T46" i="116" s="1"/>
  <c r="H51" i="116"/>
  <c r="E72" i="116"/>
  <c r="C31" i="116"/>
  <c r="K31" i="116"/>
  <c r="S31" i="116"/>
  <c r="B51" i="116"/>
  <c r="Q51" i="116"/>
  <c r="J45" i="116"/>
  <c r="Q50" i="116"/>
  <c r="Q52" i="116" s="1"/>
  <c r="Z26" i="116" l="1"/>
  <c r="T48" i="116"/>
  <c r="G67" i="116"/>
  <c r="J48" i="116"/>
  <c r="J46" i="116"/>
  <c r="C69" i="115"/>
  <c r="D69" i="115"/>
  <c r="E69" i="115"/>
  <c r="F69" i="115"/>
  <c r="G69" i="115"/>
  <c r="B69" i="115"/>
  <c r="R48" i="115"/>
  <c r="S48" i="115"/>
  <c r="T48" i="115"/>
  <c r="Q48" i="115"/>
  <c r="C48" i="115"/>
  <c r="D48" i="115"/>
  <c r="E48" i="115"/>
  <c r="F48" i="115"/>
  <c r="G48" i="115"/>
  <c r="H48" i="115"/>
  <c r="I48" i="115"/>
  <c r="B48" i="115"/>
  <c r="C28" i="115"/>
  <c r="D28" i="115"/>
  <c r="E28" i="115"/>
  <c r="F28" i="115"/>
  <c r="G28" i="115"/>
  <c r="H28" i="115"/>
  <c r="I28" i="115"/>
  <c r="J28" i="115"/>
  <c r="K28" i="115"/>
  <c r="L28" i="115"/>
  <c r="M28" i="115"/>
  <c r="N28" i="115"/>
  <c r="O28" i="115"/>
  <c r="P28" i="115"/>
  <c r="Q28" i="115"/>
  <c r="R28" i="115"/>
  <c r="S28" i="115"/>
  <c r="T28" i="115"/>
  <c r="U28" i="115"/>
  <c r="V28" i="115"/>
  <c r="W28" i="115"/>
  <c r="X28" i="115"/>
  <c r="Y28" i="115"/>
  <c r="B28" i="115"/>
  <c r="H59" i="115" l="1"/>
  <c r="G70" i="115"/>
  <c r="F70" i="115"/>
  <c r="E70" i="115"/>
  <c r="D70" i="115"/>
  <c r="C70" i="115"/>
  <c r="B70" i="115"/>
  <c r="H68" i="115"/>
  <c r="G66" i="115"/>
  <c r="G71" i="115" s="1"/>
  <c r="G73" i="115" s="1"/>
  <c r="F66" i="115"/>
  <c r="F71" i="115" s="1"/>
  <c r="F73" i="115" s="1"/>
  <c r="E66" i="115"/>
  <c r="E71" i="115" s="1"/>
  <c r="E73" i="115" s="1"/>
  <c r="D66" i="115"/>
  <c r="D71" i="115" s="1"/>
  <c r="D73" i="115" s="1"/>
  <c r="C66" i="115"/>
  <c r="C71" i="115" s="1"/>
  <c r="C73" i="115" s="1"/>
  <c r="B66" i="115"/>
  <c r="B71" i="115" s="1"/>
  <c r="B73" i="115" s="1"/>
  <c r="H65" i="115"/>
  <c r="H64" i="115"/>
  <c r="H63" i="115"/>
  <c r="H62" i="115"/>
  <c r="H61" i="115"/>
  <c r="H60" i="115"/>
  <c r="T49" i="115"/>
  <c r="S49" i="115"/>
  <c r="R49" i="115"/>
  <c r="Q49" i="115"/>
  <c r="I49" i="115"/>
  <c r="H49" i="115"/>
  <c r="G49" i="115"/>
  <c r="F49" i="115"/>
  <c r="E49" i="115"/>
  <c r="D49" i="115"/>
  <c r="C49" i="115"/>
  <c r="B49" i="115"/>
  <c r="U47" i="115"/>
  <c r="J47" i="115"/>
  <c r="T45" i="115"/>
  <c r="T50" i="115" s="1"/>
  <c r="T52" i="115" s="1"/>
  <c r="S45" i="115"/>
  <c r="S50" i="115" s="1"/>
  <c r="S52" i="115" s="1"/>
  <c r="R45" i="115"/>
  <c r="R50" i="115" s="1"/>
  <c r="R52" i="115" s="1"/>
  <c r="Q45" i="115"/>
  <c r="Q50" i="115" s="1"/>
  <c r="Q52" i="115" s="1"/>
  <c r="I45" i="115"/>
  <c r="I50" i="115" s="1"/>
  <c r="I52" i="115" s="1"/>
  <c r="H45" i="115"/>
  <c r="H50" i="115" s="1"/>
  <c r="H52" i="115" s="1"/>
  <c r="G45" i="115"/>
  <c r="G50" i="115" s="1"/>
  <c r="G52" i="115" s="1"/>
  <c r="F45" i="115"/>
  <c r="F50" i="115" s="1"/>
  <c r="F52" i="115" s="1"/>
  <c r="E45" i="115"/>
  <c r="E50" i="115" s="1"/>
  <c r="E52" i="115" s="1"/>
  <c r="D45" i="115"/>
  <c r="D50" i="115" s="1"/>
  <c r="D52" i="115" s="1"/>
  <c r="C45" i="115"/>
  <c r="C50" i="115" s="1"/>
  <c r="C52" i="115" s="1"/>
  <c r="B45" i="115"/>
  <c r="B50" i="115" s="1"/>
  <c r="B52" i="115" s="1"/>
  <c r="U44" i="115"/>
  <c r="J44" i="115"/>
  <c r="U43" i="115"/>
  <c r="J43" i="115"/>
  <c r="U42" i="115"/>
  <c r="J42" i="115"/>
  <c r="U41" i="115"/>
  <c r="J41" i="115"/>
  <c r="U40" i="115"/>
  <c r="J40" i="115"/>
  <c r="U39" i="115"/>
  <c r="J39" i="115"/>
  <c r="U38" i="115"/>
  <c r="J38" i="115"/>
  <c r="Y29" i="115"/>
  <c r="X29" i="115"/>
  <c r="W29" i="115"/>
  <c r="V29" i="115"/>
  <c r="U29" i="115"/>
  <c r="T29" i="115"/>
  <c r="S29" i="115"/>
  <c r="R29" i="115"/>
  <c r="Q29" i="115"/>
  <c r="P29" i="115"/>
  <c r="O29" i="115"/>
  <c r="N29" i="115"/>
  <c r="M29" i="115"/>
  <c r="L29" i="115"/>
  <c r="K29" i="115"/>
  <c r="J29" i="115"/>
  <c r="I29" i="115"/>
  <c r="H29" i="115"/>
  <c r="G29" i="115"/>
  <c r="F29" i="115"/>
  <c r="E29" i="115"/>
  <c r="D29" i="115"/>
  <c r="C29" i="115"/>
  <c r="B29" i="115"/>
  <c r="Z27" i="115"/>
  <c r="Y25" i="115"/>
  <c r="Y30" i="115" s="1"/>
  <c r="Y32" i="115" s="1"/>
  <c r="X25" i="115"/>
  <c r="X30" i="115" s="1"/>
  <c r="X32" i="115" s="1"/>
  <c r="W25" i="115"/>
  <c r="W30" i="115" s="1"/>
  <c r="W32" i="115" s="1"/>
  <c r="V25" i="115"/>
  <c r="V30" i="115" s="1"/>
  <c r="V32" i="115" s="1"/>
  <c r="U25" i="115"/>
  <c r="U30" i="115" s="1"/>
  <c r="U32" i="115" s="1"/>
  <c r="T25" i="115"/>
  <c r="T30" i="115" s="1"/>
  <c r="T32" i="115" s="1"/>
  <c r="S25" i="115"/>
  <c r="S30" i="115" s="1"/>
  <c r="S32" i="115" s="1"/>
  <c r="R25" i="115"/>
  <c r="R30" i="115" s="1"/>
  <c r="R32" i="115" s="1"/>
  <c r="Q25" i="115"/>
  <c r="Q30" i="115" s="1"/>
  <c r="Q32" i="115" s="1"/>
  <c r="P25" i="115"/>
  <c r="P30" i="115" s="1"/>
  <c r="P32" i="115" s="1"/>
  <c r="O25" i="115"/>
  <c r="O30" i="115" s="1"/>
  <c r="O32" i="115" s="1"/>
  <c r="N25" i="115"/>
  <c r="N30" i="115" s="1"/>
  <c r="N32" i="115" s="1"/>
  <c r="M25" i="115"/>
  <c r="M30" i="115" s="1"/>
  <c r="M32" i="115" s="1"/>
  <c r="L25" i="115"/>
  <c r="L30" i="115" s="1"/>
  <c r="L32" i="115" s="1"/>
  <c r="K25" i="115"/>
  <c r="K30" i="115" s="1"/>
  <c r="K32" i="115" s="1"/>
  <c r="J25" i="115"/>
  <c r="J30" i="115" s="1"/>
  <c r="J32" i="115" s="1"/>
  <c r="I25" i="115"/>
  <c r="I30" i="115" s="1"/>
  <c r="I32" i="115" s="1"/>
  <c r="H25" i="115"/>
  <c r="H30" i="115" s="1"/>
  <c r="H32" i="115" s="1"/>
  <c r="G25" i="115"/>
  <c r="G30" i="115" s="1"/>
  <c r="G32" i="115" s="1"/>
  <c r="F25" i="115"/>
  <c r="F30" i="115" s="1"/>
  <c r="F32" i="115" s="1"/>
  <c r="E25" i="115"/>
  <c r="E30" i="115" s="1"/>
  <c r="E32" i="115" s="1"/>
  <c r="D25" i="115"/>
  <c r="D30" i="115" s="1"/>
  <c r="D32" i="115" s="1"/>
  <c r="C25" i="115"/>
  <c r="C30" i="115" s="1"/>
  <c r="C32" i="115" s="1"/>
  <c r="B25" i="115"/>
  <c r="B30" i="115" s="1"/>
  <c r="B32" i="115" s="1"/>
  <c r="Z24" i="115"/>
  <c r="Z23" i="115"/>
  <c r="Z22" i="115"/>
  <c r="Z21" i="115"/>
  <c r="Z20" i="115"/>
  <c r="Z19" i="115"/>
  <c r="Z18" i="115"/>
  <c r="D51" i="115" l="1"/>
  <c r="Z25" i="115"/>
  <c r="Z28" i="115" s="1"/>
  <c r="E51" i="115"/>
  <c r="S51" i="115"/>
  <c r="R51" i="115"/>
  <c r="B72" i="115"/>
  <c r="C72" i="115"/>
  <c r="D72" i="115"/>
  <c r="E72" i="115"/>
  <c r="H66" i="115"/>
  <c r="H69" i="115" s="1"/>
  <c r="F72" i="115"/>
  <c r="G72" i="115"/>
  <c r="T51" i="115"/>
  <c r="Q51" i="115"/>
  <c r="H51" i="115"/>
  <c r="I51" i="115"/>
  <c r="B51" i="115"/>
  <c r="F51" i="115"/>
  <c r="G51" i="115"/>
  <c r="C51" i="115"/>
  <c r="P31" i="115"/>
  <c r="D31" i="115"/>
  <c r="Q31" i="115"/>
  <c r="F31" i="115"/>
  <c r="G31" i="115"/>
  <c r="H31" i="115"/>
  <c r="I31" i="115"/>
  <c r="U31" i="115"/>
  <c r="L31" i="115"/>
  <c r="B31" i="115"/>
  <c r="N31" i="115"/>
  <c r="E31" i="115"/>
  <c r="R31" i="115"/>
  <c r="S31" i="115"/>
  <c r="T31" i="115"/>
  <c r="J31" i="115"/>
  <c r="V31" i="115"/>
  <c r="K31" i="115"/>
  <c r="W31" i="115"/>
  <c r="X31" i="115"/>
  <c r="M31" i="115"/>
  <c r="Y31" i="115"/>
  <c r="C31" i="115"/>
  <c r="O31" i="115"/>
  <c r="U45" i="115"/>
  <c r="J45" i="115"/>
  <c r="G70" i="114"/>
  <c r="F70" i="114"/>
  <c r="E70" i="114"/>
  <c r="D70" i="114"/>
  <c r="C70" i="114"/>
  <c r="B70" i="114"/>
  <c r="G69" i="114"/>
  <c r="F69" i="114"/>
  <c r="E69" i="114"/>
  <c r="D69" i="114"/>
  <c r="C69" i="114"/>
  <c r="B69" i="114"/>
  <c r="H68" i="114"/>
  <c r="G66" i="114"/>
  <c r="G71" i="114" s="1"/>
  <c r="G73" i="114" s="1"/>
  <c r="F66" i="114"/>
  <c r="F71" i="114" s="1"/>
  <c r="F73" i="114" s="1"/>
  <c r="E66" i="114"/>
  <c r="E71" i="114" s="1"/>
  <c r="E73" i="114" s="1"/>
  <c r="D66" i="114"/>
  <c r="D71" i="114" s="1"/>
  <c r="D73" i="114" s="1"/>
  <c r="C66" i="114"/>
  <c r="C71" i="114" s="1"/>
  <c r="C73" i="114" s="1"/>
  <c r="B66" i="114"/>
  <c r="B71" i="114" s="1"/>
  <c r="B73" i="114" s="1"/>
  <c r="H65" i="114"/>
  <c r="H64" i="114"/>
  <c r="H63" i="114"/>
  <c r="H62" i="114"/>
  <c r="H61" i="114"/>
  <c r="H60" i="114"/>
  <c r="H59" i="114"/>
  <c r="T49" i="114"/>
  <c r="S49" i="114"/>
  <c r="R49" i="114"/>
  <c r="Q49" i="114"/>
  <c r="I49" i="114"/>
  <c r="H49" i="114"/>
  <c r="G49" i="114"/>
  <c r="F49" i="114"/>
  <c r="E49" i="114"/>
  <c r="D49" i="114"/>
  <c r="C49" i="114"/>
  <c r="B49" i="114"/>
  <c r="T48" i="114"/>
  <c r="S48" i="114"/>
  <c r="R48" i="114"/>
  <c r="Q48" i="114"/>
  <c r="I48" i="114"/>
  <c r="H48" i="114"/>
  <c r="G48" i="114"/>
  <c r="F48" i="114"/>
  <c r="E48" i="114"/>
  <c r="D48" i="114"/>
  <c r="C48" i="114"/>
  <c r="B48" i="114"/>
  <c r="U47" i="114"/>
  <c r="J47" i="114"/>
  <c r="T45" i="114"/>
  <c r="T50" i="114" s="1"/>
  <c r="T52" i="114" s="1"/>
  <c r="S45" i="114"/>
  <c r="S50" i="114" s="1"/>
  <c r="S52" i="114" s="1"/>
  <c r="R45" i="114"/>
  <c r="R50" i="114" s="1"/>
  <c r="R52" i="114" s="1"/>
  <c r="Q45" i="114"/>
  <c r="Q50" i="114" s="1"/>
  <c r="Q52" i="114" s="1"/>
  <c r="I45" i="114"/>
  <c r="I50" i="114" s="1"/>
  <c r="I52" i="114" s="1"/>
  <c r="H45" i="114"/>
  <c r="H50" i="114" s="1"/>
  <c r="H52" i="114" s="1"/>
  <c r="G45" i="114"/>
  <c r="G50" i="114" s="1"/>
  <c r="G52" i="114" s="1"/>
  <c r="F45" i="114"/>
  <c r="F50" i="114" s="1"/>
  <c r="F52" i="114" s="1"/>
  <c r="E45" i="114"/>
  <c r="E50" i="114" s="1"/>
  <c r="E52" i="114" s="1"/>
  <c r="D45" i="114"/>
  <c r="D50" i="114" s="1"/>
  <c r="D52" i="114" s="1"/>
  <c r="C45" i="114"/>
  <c r="C50" i="114" s="1"/>
  <c r="C52" i="114" s="1"/>
  <c r="B45" i="114"/>
  <c r="B50" i="114" s="1"/>
  <c r="B52" i="114" s="1"/>
  <c r="U44" i="114"/>
  <c r="J44" i="114"/>
  <c r="U43" i="114"/>
  <c r="J43" i="114"/>
  <c r="U42" i="114"/>
  <c r="J42" i="114"/>
  <c r="U41" i="114"/>
  <c r="J41" i="114"/>
  <c r="U40" i="114"/>
  <c r="J40" i="114"/>
  <c r="U39" i="114"/>
  <c r="J39" i="114"/>
  <c r="U38" i="114"/>
  <c r="J38" i="114"/>
  <c r="Y29" i="114"/>
  <c r="X29" i="114"/>
  <c r="W29" i="114"/>
  <c r="V29" i="114"/>
  <c r="U29" i="114"/>
  <c r="T29" i="114"/>
  <c r="S29" i="114"/>
  <c r="R29" i="114"/>
  <c r="Q29" i="114"/>
  <c r="P29" i="114"/>
  <c r="O29" i="114"/>
  <c r="N29" i="114"/>
  <c r="M29" i="114"/>
  <c r="L29" i="114"/>
  <c r="K29" i="114"/>
  <c r="J29" i="114"/>
  <c r="I29" i="114"/>
  <c r="H29" i="114"/>
  <c r="G29" i="114"/>
  <c r="F29" i="114"/>
  <c r="E29" i="114"/>
  <c r="D29" i="114"/>
  <c r="C29" i="114"/>
  <c r="B29" i="114"/>
  <c r="Y28" i="114"/>
  <c r="X28" i="114"/>
  <c r="W28" i="114"/>
  <c r="V28" i="114"/>
  <c r="U28" i="114"/>
  <c r="T28" i="114"/>
  <c r="S28" i="114"/>
  <c r="R28" i="114"/>
  <c r="Q28" i="114"/>
  <c r="P28" i="114"/>
  <c r="O28" i="114"/>
  <c r="N28" i="114"/>
  <c r="M28" i="114"/>
  <c r="L28" i="114"/>
  <c r="K28" i="114"/>
  <c r="J28" i="114"/>
  <c r="I28" i="114"/>
  <c r="H28" i="114"/>
  <c r="G28" i="114"/>
  <c r="F28" i="114"/>
  <c r="E28" i="114"/>
  <c r="D28" i="114"/>
  <c r="C28" i="114"/>
  <c r="B28" i="114"/>
  <c r="Z27" i="114"/>
  <c r="Y25" i="114"/>
  <c r="Y30" i="114" s="1"/>
  <c r="Y32" i="114" s="1"/>
  <c r="X25" i="114"/>
  <c r="X30" i="114" s="1"/>
  <c r="X32" i="114" s="1"/>
  <c r="W25" i="114"/>
  <c r="W30" i="114" s="1"/>
  <c r="W32" i="114" s="1"/>
  <c r="V25" i="114"/>
  <c r="V30" i="114" s="1"/>
  <c r="V32" i="114" s="1"/>
  <c r="U25" i="114"/>
  <c r="U30" i="114" s="1"/>
  <c r="U32" i="114" s="1"/>
  <c r="T25" i="114"/>
  <c r="T30" i="114" s="1"/>
  <c r="T32" i="114" s="1"/>
  <c r="S25" i="114"/>
  <c r="S30" i="114" s="1"/>
  <c r="S32" i="114" s="1"/>
  <c r="R25" i="114"/>
  <c r="R30" i="114" s="1"/>
  <c r="R32" i="114" s="1"/>
  <c r="Q25" i="114"/>
  <c r="Q30" i="114" s="1"/>
  <c r="Q32" i="114" s="1"/>
  <c r="P25" i="114"/>
  <c r="P30" i="114" s="1"/>
  <c r="P32" i="114" s="1"/>
  <c r="O25" i="114"/>
  <c r="O30" i="114" s="1"/>
  <c r="O32" i="114" s="1"/>
  <c r="N25" i="114"/>
  <c r="N30" i="114" s="1"/>
  <c r="N32" i="114" s="1"/>
  <c r="M25" i="114"/>
  <c r="M30" i="114" s="1"/>
  <c r="M32" i="114" s="1"/>
  <c r="L25" i="114"/>
  <c r="L30" i="114" s="1"/>
  <c r="L32" i="114" s="1"/>
  <c r="K25" i="114"/>
  <c r="K30" i="114" s="1"/>
  <c r="K32" i="114" s="1"/>
  <c r="J25" i="114"/>
  <c r="J30" i="114" s="1"/>
  <c r="J32" i="114" s="1"/>
  <c r="I25" i="114"/>
  <c r="I30" i="114" s="1"/>
  <c r="I32" i="114" s="1"/>
  <c r="H25" i="114"/>
  <c r="H30" i="114" s="1"/>
  <c r="H32" i="114" s="1"/>
  <c r="G25" i="114"/>
  <c r="G30" i="114" s="1"/>
  <c r="G32" i="114" s="1"/>
  <c r="F25" i="114"/>
  <c r="F30" i="114" s="1"/>
  <c r="F32" i="114" s="1"/>
  <c r="E25" i="114"/>
  <c r="E30" i="114" s="1"/>
  <c r="E32" i="114" s="1"/>
  <c r="D25" i="114"/>
  <c r="D30" i="114" s="1"/>
  <c r="D32" i="114" s="1"/>
  <c r="C25" i="114"/>
  <c r="C30" i="114" s="1"/>
  <c r="C32" i="114" s="1"/>
  <c r="B25" i="114"/>
  <c r="B30" i="114" s="1"/>
  <c r="B32" i="114" s="1"/>
  <c r="Z24" i="114"/>
  <c r="Z23" i="114"/>
  <c r="Z22" i="114"/>
  <c r="Z21" i="114"/>
  <c r="Z20" i="114"/>
  <c r="Z19" i="114"/>
  <c r="Z18" i="114"/>
  <c r="Z26" i="115" l="1"/>
  <c r="H67" i="115"/>
  <c r="J48" i="115"/>
  <c r="J46" i="115"/>
  <c r="U48" i="115"/>
  <c r="U46" i="115"/>
  <c r="T31" i="114"/>
  <c r="D31" i="114"/>
  <c r="L31" i="114"/>
  <c r="E72" i="114"/>
  <c r="B72" i="114"/>
  <c r="D72" i="114"/>
  <c r="H66" i="114"/>
  <c r="H69" i="114" s="1"/>
  <c r="C72" i="114"/>
  <c r="F72" i="114"/>
  <c r="G72" i="114"/>
  <c r="B51" i="114"/>
  <c r="Q51" i="114"/>
  <c r="U45" i="114"/>
  <c r="U48" i="114" s="1"/>
  <c r="R51" i="114"/>
  <c r="S51" i="114"/>
  <c r="T51" i="114"/>
  <c r="D51" i="114"/>
  <c r="C51" i="114"/>
  <c r="F51" i="114"/>
  <c r="E51" i="114"/>
  <c r="G51" i="114"/>
  <c r="H51" i="114"/>
  <c r="I51" i="114"/>
  <c r="Z25" i="114"/>
  <c r="Z26" i="114" s="1"/>
  <c r="E31" i="114"/>
  <c r="M31" i="114"/>
  <c r="U31" i="114"/>
  <c r="F31" i="114"/>
  <c r="N31" i="114"/>
  <c r="V31" i="114"/>
  <c r="G31" i="114"/>
  <c r="O31" i="114"/>
  <c r="W31" i="114"/>
  <c r="H31" i="114"/>
  <c r="P31" i="114"/>
  <c r="X31" i="114"/>
  <c r="I31" i="114"/>
  <c r="Q31" i="114"/>
  <c r="Y31" i="114"/>
  <c r="B31" i="114"/>
  <c r="J31" i="114"/>
  <c r="R31" i="114"/>
  <c r="C31" i="114"/>
  <c r="K31" i="114"/>
  <c r="S31" i="114"/>
  <c r="J45" i="114"/>
  <c r="H67" i="114" l="1"/>
  <c r="U46" i="114"/>
  <c r="Z28" i="114"/>
  <c r="J46" i="114"/>
  <c r="J48" i="114"/>
  <c r="J38" i="113" l="1"/>
  <c r="C69" i="113" l="1"/>
  <c r="D69" i="113"/>
  <c r="E69" i="113"/>
  <c r="F69" i="113"/>
  <c r="G69" i="113"/>
  <c r="B69" i="113"/>
  <c r="R48" i="113"/>
  <c r="S48" i="113"/>
  <c r="T48" i="113"/>
  <c r="Q48" i="113"/>
  <c r="C48" i="113"/>
  <c r="D48" i="113"/>
  <c r="E48" i="113"/>
  <c r="F48" i="113"/>
  <c r="G48" i="113"/>
  <c r="H48" i="113"/>
  <c r="I48" i="113"/>
  <c r="B48" i="113"/>
  <c r="C28" i="113"/>
  <c r="D28" i="113"/>
  <c r="E28" i="113"/>
  <c r="F28" i="113"/>
  <c r="G28" i="113"/>
  <c r="H28" i="113"/>
  <c r="I28" i="113"/>
  <c r="J28" i="113"/>
  <c r="K28" i="113"/>
  <c r="L28" i="113"/>
  <c r="M28" i="113"/>
  <c r="N28" i="113"/>
  <c r="O28" i="113"/>
  <c r="P28" i="113"/>
  <c r="Q28" i="113"/>
  <c r="R28" i="113"/>
  <c r="S28" i="113"/>
  <c r="T28" i="113"/>
  <c r="U28" i="113"/>
  <c r="V28" i="113"/>
  <c r="W28" i="113"/>
  <c r="X28" i="113"/>
  <c r="Y28" i="113"/>
  <c r="B28" i="113"/>
  <c r="G70" i="113" l="1"/>
  <c r="F70" i="113"/>
  <c r="E70" i="113"/>
  <c r="D70" i="113"/>
  <c r="C70" i="113"/>
  <c r="B70" i="113"/>
  <c r="H68" i="113"/>
  <c r="G66" i="113"/>
  <c r="F66" i="113"/>
  <c r="F71" i="113" s="1"/>
  <c r="F73" i="113" s="1"/>
  <c r="E66" i="113"/>
  <c r="D66" i="113"/>
  <c r="D71" i="113" s="1"/>
  <c r="D73" i="113" s="1"/>
  <c r="C66" i="113"/>
  <c r="C71" i="113" s="1"/>
  <c r="C73" i="113" s="1"/>
  <c r="B66" i="113"/>
  <c r="H65" i="113"/>
  <c r="H64" i="113"/>
  <c r="H63" i="113"/>
  <c r="H62" i="113"/>
  <c r="H61" i="113"/>
  <c r="H60" i="113"/>
  <c r="H59" i="113"/>
  <c r="T49" i="113"/>
  <c r="S49" i="113"/>
  <c r="R49" i="113"/>
  <c r="Q49" i="113"/>
  <c r="I49" i="113"/>
  <c r="H49" i="113"/>
  <c r="G49" i="113"/>
  <c r="F49" i="113"/>
  <c r="E49" i="113"/>
  <c r="D49" i="113"/>
  <c r="C49" i="113"/>
  <c r="B49" i="113"/>
  <c r="U47" i="113"/>
  <c r="J47" i="113"/>
  <c r="T45" i="113"/>
  <c r="T50" i="113" s="1"/>
  <c r="T52" i="113" s="1"/>
  <c r="S45" i="113"/>
  <c r="S50" i="113" s="1"/>
  <c r="S52" i="113" s="1"/>
  <c r="R45" i="113"/>
  <c r="R50" i="113" s="1"/>
  <c r="R52" i="113" s="1"/>
  <c r="Q45" i="113"/>
  <c r="Q50" i="113" s="1"/>
  <c r="Q52" i="113" s="1"/>
  <c r="I45" i="113"/>
  <c r="I50" i="113" s="1"/>
  <c r="I52" i="113" s="1"/>
  <c r="H45" i="113"/>
  <c r="H50" i="113" s="1"/>
  <c r="H52" i="113" s="1"/>
  <c r="G45" i="113"/>
  <c r="G50" i="113" s="1"/>
  <c r="G52" i="113" s="1"/>
  <c r="F45" i="113"/>
  <c r="F50" i="113" s="1"/>
  <c r="F52" i="113" s="1"/>
  <c r="E45" i="113"/>
  <c r="E50" i="113" s="1"/>
  <c r="E52" i="113" s="1"/>
  <c r="D45" i="113"/>
  <c r="D50" i="113" s="1"/>
  <c r="D52" i="113" s="1"/>
  <c r="C45" i="113"/>
  <c r="C50" i="113" s="1"/>
  <c r="C52" i="113" s="1"/>
  <c r="B45" i="113"/>
  <c r="B50" i="113" s="1"/>
  <c r="B52" i="113" s="1"/>
  <c r="U44" i="113"/>
  <c r="J44" i="113"/>
  <c r="U43" i="113"/>
  <c r="J43" i="113"/>
  <c r="U42" i="113"/>
  <c r="J42" i="113"/>
  <c r="U41" i="113"/>
  <c r="J41" i="113"/>
  <c r="U40" i="113"/>
  <c r="J40" i="113"/>
  <c r="U39" i="113"/>
  <c r="J39" i="113"/>
  <c r="U38" i="113"/>
  <c r="Y29" i="113"/>
  <c r="X29" i="113"/>
  <c r="W29" i="113"/>
  <c r="V29" i="113"/>
  <c r="U29" i="113"/>
  <c r="T29" i="113"/>
  <c r="S29" i="113"/>
  <c r="R29" i="113"/>
  <c r="Q29" i="113"/>
  <c r="P29" i="113"/>
  <c r="O29" i="113"/>
  <c r="N29" i="113"/>
  <c r="M29" i="113"/>
  <c r="L29" i="113"/>
  <c r="K29" i="113"/>
  <c r="J29" i="113"/>
  <c r="I29" i="113"/>
  <c r="H29" i="113"/>
  <c r="G29" i="113"/>
  <c r="F29" i="113"/>
  <c r="E29" i="113"/>
  <c r="D29" i="113"/>
  <c r="C29" i="113"/>
  <c r="B29" i="113"/>
  <c r="Z27" i="113"/>
  <c r="Y25" i="113"/>
  <c r="Y30" i="113" s="1"/>
  <c r="Y32" i="113" s="1"/>
  <c r="X25" i="113"/>
  <c r="X30" i="113" s="1"/>
  <c r="X32" i="113" s="1"/>
  <c r="W25" i="113"/>
  <c r="W30" i="113" s="1"/>
  <c r="W32" i="113" s="1"/>
  <c r="V25" i="113"/>
  <c r="V30" i="113" s="1"/>
  <c r="V32" i="113" s="1"/>
  <c r="U25" i="113"/>
  <c r="U30" i="113" s="1"/>
  <c r="U32" i="113" s="1"/>
  <c r="T25" i="113"/>
  <c r="T30" i="113" s="1"/>
  <c r="T32" i="113" s="1"/>
  <c r="S25" i="113"/>
  <c r="S30" i="113" s="1"/>
  <c r="S32" i="113" s="1"/>
  <c r="R25" i="113"/>
  <c r="R30" i="113" s="1"/>
  <c r="R32" i="113" s="1"/>
  <c r="Q25" i="113"/>
  <c r="Q30" i="113" s="1"/>
  <c r="Q32" i="113" s="1"/>
  <c r="P25" i="113"/>
  <c r="P30" i="113" s="1"/>
  <c r="P32" i="113" s="1"/>
  <c r="O25" i="113"/>
  <c r="O30" i="113" s="1"/>
  <c r="O32" i="113" s="1"/>
  <c r="N25" i="113"/>
  <c r="N30" i="113" s="1"/>
  <c r="N32" i="113" s="1"/>
  <c r="M25" i="113"/>
  <c r="M30" i="113" s="1"/>
  <c r="M32" i="113" s="1"/>
  <c r="L25" i="113"/>
  <c r="L30" i="113" s="1"/>
  <c r="L32" i="113" s="1"/>
  <c r="K25" i="113"/>
  <c r="K30" i="113" s="1"/>
  <c r="K32" i="113" s="1"/>
  <c r="J25" i="113"/>
  <c r="J30" i="113" s="1"/>
  <c r="J32" i="113" s="1"/>
  <c r="I25" i="113"/>
  <c r="I30" i="113" s="1"/>
  <c r="I32" i="113" s="1"/>
  <c r="H25" i="113"/>
  <c r="H30" i="113" s="1"/>
  <c r="H32" i="113" s="1"/>
  <c r="G25" i="113"/>
  <c r="G30" i="113" s="1"/>
  <c r="G32" i="113" s="1"/>
  <c r="F25" i="113"/>
  <c r="F30" i="113" s="1"/>
  <c r="F32" i="113" s="1"/>
  <c r="E25" i="113"/>
  <c r="E30" i="113" s="1"/>
  <c r="E32" i="113" s="1"/>
  <c r="D25" i="113"/>
  <c r="D30" i="113" s="1"/>
  <c r="D32" i="113" s="1"/>
  <c r="C25" i="113"/>
  <c r="C30" i="113" s="1"/>
  <c r="C32" i="113" s="1"/>
  <c r="B25" i="113"/>
  <c r="B30" i="113" s="1"/>
  <c r="B32" i="113" s="1"/>
  <c r="Z24" i="113"/>
  <c r="Z23" i="113"/>
  <c r="Z22" i="113"/>
  <c r="Z21" i="113"/>
  <c r="Z20" i="113"/>
  <c r="Z19" i="113"/>
  <c r="Z18" i="113"/>
  <c r="G71" i="113" l="1"/>
  <c r="G73" i="113" s="1"/>
  <c r="G72" i="113"/>
  <c r="V31" i="113"/>
  <c r="N31" i="113"/>
  <c r="B72" i="113"/>
  <c r="E72" i="113"/>
  <c r="F72" i="113"/>
  <c r="B71" i="113"/>
  <c r="B73" i="113" s="1"/>
  <c r="E71" i="113"/>
  <c r="E73" i="113" s="1"/>
  <c r="H66" i="113"/>
  <c r="H67" i="113" s="1"/>
  <c r="C72" i="113"/>
  <c r="Q51" i="113"/>
  <c r="U45" i="113"/>
  <c r="U48" i="113" s="1"/>
  <c r="R51" i="113"/>
  <c r="S51" i="113"/>
  <c r="T51" i="113"/>
  <c r="B51" i="113"/>
  <c r="D51" i="113"/>
  <c r="C51" i="113"/>
  <c r="E51" i="113"/>
  <c r="F51" i="113"/>
  <c r="G51" i="113"/>
  <c r="H51" i="113"/>
  <c r="I51" i="113"/>
  <c r="F31" i="113"/>
  <c r="Z25" i="113"/>
  <c r="Z28" i="113" s="1"/>
  <c r="E31" i="113"/>
  <c r="M31" i="113"/>
  <c r="U31" i="113"/>
  <c r="G31" i="113"/>
  <c r="O31" i="113"/>
  <c r="W31" i="113"/>
  <c r="H31" i="113"/>
  <c r="P31" i="113"/>
  <c r="X31" i="113"/>
  <c r="I31" i="113"/>
  <c r="Q31" i="113"/>
  <c r="Y31" i="113"/>
  <c r="B31" i="113"/>
  <c r="J31" i="113"/>
  <c r="R31" i="113"/>
  <c r="C31" i="113"/>
  <c r="K31" i="113"/>
  <c r="S31" i="113"/>
  <c r="D31" i="113"/>
  <c r="L31" i="113"/>
  <c r="T31" i="113"/>
  <c r="D72" i="113"/>
  <c r="J45" i="113"/>
  <c r="H60" i="112"/>
  <c r="H61" i="112"/>
  <c r="H62" i="112"/>
  <c r="H63" i="112"/>
  <c r="H64" i="112"/>
  <c r="H65" i="112"/>
  <c r="G66" i="112"/>
  <c r="G71" i="112" s="1"/>
  <c r="H68" i="112"/>
  <c r="G70" i="112"/>
  <c r="G69" i="112"/>
  <c r="C78" i="110"/>
  <c r="D78" i="110"/>
  <c r="E78" i="110"/>
  <c r="F78" i="110"/>
  <c r="B78" i="110"/>
  <c r="F77" i="110"/>
  <c r="C77" i="110"/>
  <c r="D77" i="110"/>
  <c r="E77" i="110"/>
  <c r="B77" i="110"/>
  <c r="C75" i="110"/>
  <c r="D75" i="110"/>
  <c r="E75" i="110"/>
  <c r="F75" i="110"/>
  <c r="B75" i="110"/>
  <c r="Z27" i="110"/>
  <c r="Z27" i="112"/>
  <c r="Z21" i="112"/>
  <c r="F70" i="112"/>
  <c r="E70" i="112"/>
  <c r="D70" i="112"/>
  <c r="C70" i="112"/>
  <c r="B70" i="112"/>
  <c r="F69" i="112"/>
  <c r="E69" i="112"/>
  <c r="D69" i="112"/>
  <c r="C69" i="112"/>
  <c r="B69" i="112"/>
  <c r="B66" i="112"/>
  <c r="B71" i="112" s="1"/>
  <c r="B73" i="112" s="1"/>
  <c r="H59" i="112"/>
  <c r="T49" i="112"/>
  <c r="S49" i="112"/>
  <c r="R49" i="112"/>
  <c r="Q49" i="112"/>
  <c r="I49" i="112"/>
  <c r="H49" i="112"/>
  <c r="G49" i="112"/>
  <c r="F49" i="112"/>
  <c r="E49" i="112"/>
  <c r="D49" i="112"/>
  <c r="C49" i="112"/>
  <c r="B49" i="112"/>
  <c r="T48" i="112"/>
  <c r="S48" i="112"/>
  <c r="R48" i="112"/>
  <c r="Q48" i="112"/>
  <c r="I48" i="112"/>
  <c r="H48" i="112"/>
  <c r="G48" i="112"/>
  <c r="F48" i="112"/>
  <c r="E48" i="112"/>
  <c r="D48" i="112"/>
  <c r="C48" i="112"/>
  <c r="B48" i="112"/>
  <c r="U47" i="112"/>
  <c r="J47" i="112"/>
  <c r="T45" i="112"/>
  <c r="T50" i="112" s="1"/>
  <c r="T52" i="112" s="1"/>
  <c r="S45" i="112"/>
  <c r="S50" i="112" s="1"/>
  <c r="S52" i="112" s="1"/>
  <c r="R45" i="112"/>
  <c r="R50" i="112" s="1"/>
  <c r="R52" i="112" s="1"/>
  <c r="Q45" i="112"/>
  <c r="Q50" i="112" s="1"/>
  <c r="Q52" i="112" s="1"/>
  <c r="I45" i="112"/>
  <c r="I50" i="112" s="1"/>
  <c r="I52" i="112" s="1"/>
  <c r="H45" i="112"/>
  <c r="H50" i="112" s="1"/>
  <c r="H52" i="112" s="1"/>
  <c r="G45" i="112"/>
  <c r="G50" i="112" s="1"/>
  <c r="G52" i="112" s="1"/>
  <c r="F45" i="112"/>
  <c r="E45" i="112"/>
  <c r="E50" i="112" s="1"/>
  <c r="E52" i="112" s="1"/>
  <c r="D45" i="112"/>
  <c r="D50" i="112" s="1"/>
  <c r="D52" i="112" s="1"/>
  <c r="C45" i="112"/>
  <c r="C50" i="112" s="1"/>
  <c r="C52" i="112" s="1"/>
  <c r="B45" i="112"/>
  <c r="B50" i="112" s="1"/>
  <c r="B52" i="112" s="1"/>
  <c r="U44" i="112"/>
  <c r="J44" i="112"/>
  <c r="U43" i="112"/>
  <c r="J43" i="112"/>
  <c r="U42" i="112"/>
  <c r="J42" i="112"/>
  <c r="U41" i="112"/>
  <c r="J41" i="112"/>
  <c r="U40" i="112"/>
  <c r="J40" i="112"/>
  <c r="U39" i="112"/>
  <c r="J39" i="112"/>
  <c r="U38" i="112"/>
  <c r="J38" i="112"/>
  <c r="R34" i="112"/>
  <c r="Y29" i="112"/>
  <c r="X29" i="112"/>
  <c r="W29" i="112"/>
  <c r="V29" i="112"/>
  <c r="U29" i="112"/>
  <c r="T29" i="112"/>
  <c r="S29" i="112"/>
  <c r="R29" i="112"/>
  <c r="Q29" i="112"/>
  <c r="P29" i="112"/>
  <c r="O29" i="112"/>
  <c r="N29" i="112"/>
  <c r="M29" i="112"/>
  <c r="L29" i="112"/>
  <c r="K29" i="112"/>
  <c r="J29" i="112"/>
  <c r="I29" i="112"/>
  <c r="H29" i="112"/>
  <c r="G29" i="112"/>
  <c r="F29" i="112"/>
  <c r="E29" i="112"/>
  <c r="D29" i="112"/>
  <c r="C29" i="112"/>
  <c r="B29" i="112"/>
  <c r="Y28" i="112"/>
  <c r="X28" i="112"/>
  <c r="W28" i="112"/>
  <c r="V28" i="112"/>
  <c r="U28" i="112"/>
  <c r="T28" i="112"/>
  <c r="S28" i="112"/>
  <c r="R28" i="112"/>
  <c r="Q28" i="112"/>
  <c r="P28" i="112"/>
  <c r="O28" i="112"/>
  <c r="N28" i="112"/>
  <c r="M28" i="112"/>
  <c r="L28" i="112"/>
  <c r="K28" i="112"/>
  <c r="J28" i="112"/>
  <c r="I28" i="112"/>
  <c r="H28" i="112"/>
  <c r="G28" i="112"/>
  <c r="F28" i="112"/>
  <c r="E28" i="112"/>
  <c r="D28" i="112"/>
  <c r="C28" i="112"/>
  <c r="B28" i="112"/>
  <c r="Y25" i="112"/>
  <c r="Y30" i="112" s="1"/>
  <c r="Y32" i="112" s="1"/>
  <c r="X25" i="112"/>
  <c r="X30" i="112" s="1"/>
  <c r="X32" i="112" s="1"/>
  <c r="W25" i="112"/>
  <c r="W30" i="112" s="1"/>
  <c r="W32" i="112" s="1"/>
  <c r="V25" i="112"/>
  <c r="V30" i="112" s="1"/>
  <c r="V32" i="112" s="1"/>
  <c r="U25" i="112"/>
  <c r="U30" i="112" s="1"/>
  <c r="U32" i="112" s="1"/>
  <c r="T25" i="112"/>
  <c r="T30" i="112" s="1"/>
  <c r="T32" i="112" s="1"/>
  <c r="S25" i="112"/>
  <c r="S30" i="112" s="1"/>
  <c r="S32" i="112" s="1"/>
  <c r="R25" i="112"/>
  <c r="R30" i="112" s="1"/>
  <c r="R32" i="112" s="1"/>
  <c r="Q25" i="112"/>
  <c r="Q30" i="112" s="1"/>
  <c r="Q32" i="112" s="1"/>
  <c r="K25" i="112"/>
  <c r="K30" i="112" s="1"/>
  <c r="K32" i="112" s="1"/>
  <c r="J25" i="112"/>
  <c r="J30" i="112" s="1"/>
  <c r="J32" i="112" s="1"/>
  <c r="I25" i="112"/>
  <c r="I30" i="112" s="1"/>
  <c r="I32" i="112" s="1"/>
  <c r="H25" i="112"/>
  <c r="H30" i="112" s="1"/>
  <c r="H32" i="112" s="1"/>
  <c r="G25" i="112"/>
  <c r="G30" i="112" s="1"/>
  <c r="G32" i="112" s="1"/>
  <c r="F25" i="112"/>
  <c r="F30" i="112" s="1"/>
  <c r="F32" i="112" s="1"/>
  <c r="E25" i="112"/>
  <c r="E30" i="112" s="1"/>
  <c r="E32" i="112" s="1"/>
  <c r="D25" i="112"/>
  <c r="D30" i="112" s="1"/>
  <c r="D32" i="112" s="1"/>
  <c r="C25" i="112"/>
  <c r="C30" i="112" s="1"/>
  <c r="C32" i="112" s="1"/>
  <c r="B25" i="112"/>
  <c r="B30" i="112" s="1"/>
  <c r="B32" i="112" s="1"/>
  <c r="Z24" i="112"/>
  <c r="Z22" i="112"/>
  <c r="Z20" i="112"/>
  <c r="Z19" i="112"/>
  <c r="Z18" i="112"/>
  <c r="R34" i="110"/>
  <c r="U46" i="113" l="1"/>
  <c r="H69" i="113"/>
  <c r="Z26" i="113"/>
  <c r="J48" i="113"/>
  <c r="J46" i="113"/>
  <c r="D66" i="112"/>
  <c r="D71" i="112" s="1"/>
  <c r="D73" i="112" s="1"/>
  <c r="C66" i="112"/>
  <c r="C71" i="112" s="1"/>
  <c r="C73" i="112" s="1"/>
  <c r="F66" i="112"/>
  <c r="F71" i="112" s="1"/>
  <c r="F73" i="112" s="1"/>
  <c r="E66" i="112"/>
  <c r="E71" i="112" s="1"/>
  <c r="E73" i="112" s="1"/>
  <c r="Q51" i="112"/>
  <c r="R51" i="112"/>
  <c r="S51" i="112"/>
  <c r="Z23" i="112"/>
  <c r="Z25" i="112" s="1"/>
  <c r="Z26" i="112" s="1"/>
  <c r="M25" i="112"/>
  <c r="M30" i="112" s="1"/>
  <c r="M32" i="112" s="1"/>
  <c r="P25" i="112"/>
  <c r="P30" i="112" s="1"/>
  <c r="P32" i="112" s="1"/>
  <c r="O25" i="112"/>
  <c r="O30" i="112" s="1"/>
  <c r="O32" i="112" s="1"/>
  <c r="L25" i="112"/>
  <c r="L30" i="112" s="1"/>
  <c r="L32" i="112" s="1"/>
  <c r="N25" i="112"/>
  <c r="N30" i="112" s="1"/>
  <c r="N32" i="112" s="1"/>
  <c r="B72" i="112"/>
  <c r="C51" i="112"/>
  <c r="B31" i="112"/>
  <c r="R31" i="112"/>
  <c r="E51" i="112"/>
  <c r="F51" i="112"/>
  <c r="G51" i="112"/>
  <c r="D51" i="112"/>
  <c r="H51" i="112"/>
  <c r="I51" i="112"/>
  <c r="C31" i="112"/>
  <c r="T31" i="112"/>
  <c r="D31" i="112"/>
  <c r="H31" i="112"/>
  <c r="X31" i="112"/>
  <c r="I31" i="112"/>
  <c r="Y31" i="112"/>
  <c r="F31" i="112"/>
  <c r="J31" i="112"/>
  <c r="J45" i="112"/>
  <c r="J46" i="112" s="1"/>
  <c r="H66" i="112"/>
  <c r="H69" i="112" s="1"/>
  <c r="K31" i="112"/>
  <c r="T51" i="112"/>
  <c r="G31" i="112"/>
  <c r="E31" i="112"/>
  <c r="V31" i="112"/>
  <c r="B51" i="112"/>
  <c r="S31" i="112"/>
  <c r="U31" i="112"/>
  <c r="W31" i="112"/>
  <c r="Q31" i="112"/>
  <c r="U45" i="112"/>
  <c r="F50" i="112"/>
  <c r="F52" i="112" s="1"/>
  <c r="P29" i="110"/>
  <c r="P28" i="110"/>
  <c r="P25" i="110"/>
  <c r="F70" i="110"/>
  <c r="E70" i="110"/>
  <c r="D70" i="110"/>
  <c r="C70" i="110"/>
  <c r="B70" i="110"/>
  <c r="F69" i="110"/>
  <c r="F76" i="110" s="1"/>
  <c r="E69" i="110"/>
  <c r="E76" i="110" s="1"/>
  <c r="D69" i="110"/>
  <c r="D76" i="110" s="1"/>
  <c r="C69" i="110"/>
  <c r="C76" i="110" s="1"/>
  <c r="B69" i="110"/>
  <c r="B76" i="110" s="1"/>
  <c r="G68" i="110"/>
  <c r="F66" i="110"/>
  <c r="F71" i="110" s="1"/>
  <c r="F73" i="110" s="1"/>
  <c r="E66" i="110"/>
  <c r="E71" i="110" s="1"/>
  <c r="E73" i="110" s="1"/>
  <c r="D66" i="110"/>
  <c r="D71" i="110" s="1"/>
  <c r="D73" i="110" s="1"/>
  <c r="C66" i="110"/>
  <c r="C71" i="110" s="1"/>
  <c r="C73" i="110" s="1"/>
  <c r="B66" i="110"/>
  <c r="B71" i="110" s="1"/>
  <c r="B73" i="110" s="1"/>
  <c r="G65" i="110"/>
  <c r="G64" i="110"/>
  <c r="G63" i="110"/>
  <c r="G62" i="110"/>
  <c r="G61" i="110"/>
  <c r="G60" i="110"/>
  <c r="G59" i="110"/>
  <c r="T49" i="110"/>
  <c r="S49" i="110"/>
  <c r="R49" i="110"/>
  <c r="Q49" i="110"/>
  <c r="I49" i="110"/>
  <c r="H49" i="110"/>
  <c r="G49" i="110"/>
  <c r="F49" i="110"/>
  <c r="E49" i="110"/>
  <c r="D49" i="110"/>
  <c r="C49" i="110"/>
  <c r="B49" i="110"/>
  <c r="T48" i="110"/>
  <c r="S48" i="110"/>
  <c r="R48" i="110"/>
  <c r="Q48" i="110"/>
  <c r="I48" i="110"/>
  <c r="H48" i="110"/>
  <c r="G48" i="110"/>
  <c r="F48" i="110"/>
  <c r="E48" i="110"/>
  <c r="D48" i="110"/>
  <c r="C48" i="110"/>
  <c r="B48" i="110"/>
  <c r="U47" i="110"/>
  <c r="J47" i="110"/>
  <c r="T45" i="110"/>
  <c r="T50" i="110" s="1"/>
  <c r="T52" i="110" s="1"/>
  <c r="S45" i="110"/>
  <c r="S50" i="110" s="1"/>
  <c r="S52" i="110" s="1"/>
  <c r="R45" i="110"/>
  <c r="R50" i="110" s="1"/>
  <c r="R52" i="110" s="1"/>
  <c r="Q45" i="110"/>
  <c r="I45" i="110"/>
  <c r="I50" i="110" s="1"/>
  <c r="I52" i="110" s="1"/>
  <c r="H45" i="110"/>
  <c r="H50" i="110" s="1"/>
  <c r="H52" i="110" s="1"/>
  <c r="G45" i="110"/>
  <c r="G50" i="110" s="1"/>
  <c r="G52" i="110" s="1"/>
  <c r="F45" i="110"/>
  <c r="F50" i="110" s="1"/>
  <c r="F52" i="110" s="1"/>
  <c r="E45" i="110"/>
  <c r="E50" i="110" s="1"/>
  <c r="E52" i="110" s="1"/>
  <c r="D45" i="110"/>
  <c r="D50" i="110" s="1"/>
  <c r="D52" i="110" s="1"/>
  <c r="C45" i="110"/>
  <c r="C50" i="110" s="1"/>
  <c r="C52" i="110" s="1"/>
  <c r="B45" i="110"/>
  <c r="U44" i="110"/>
  <c r="J44" i="110"/>
  <c r="U43" i="110"/>
  <c r="J43" i="110"/>
  <c r="U42" i="110"/>
  <c r="J42" i="110"/>
  <c r="U41" i="110"/>
  <c r="J41" i="110"/>
  <c r="U40" i="110"/>
  <c r="J40" i="110"/>
  <c r="U39" i="110"/>
  <c r="J39" i="110"/>
  <c r="U38" i="110"/>
  <c r="J38" i="110"/>
  <c r="Y29" i="110"/>
  <c r="X29" i="110"/>
  <c r="W29" i="110"/>
  <c r="V29" i="110"/>
  <c r="U29" i="110"/>
  <c r="T29" i="110"/>
  <c r="S29" i="110"/>
  <c r="R29" i="110"/>
  <c r="Q29" i="110"/>
  <c r="O29" i="110"/>
  <c r="N29" i="110"/>
  <c r="M29" i="110"/>
  <c r="L29" i="110"/>
  <c r="K29" i="110"/>
  <c r="J29" i="110"/>
  <c r="I29" i="110"/>
  <c r="H29" i="110"/>
  <c r="G29" i="110"/>
  <c r="F29" i="110"/>
  <c r="E29" i="110"/>
  <c r="D29" i="110"/>
  <c r="C29" i="110"/>
  <c r="B29" i="110"/>
  <c r="Y28" i="110"/>
  <c r="X28" i="110"/>
  <c r="W28" i="110"/>
  <c r="V28" i="110"/>
  <c r="U28" i="110"/>
  <c r="T28" i="110"/>
  <c r="S28" i="110"/>
  <c r="R28" i="110"/>
  <c r="Q28" i="110"/>
  <c r="O28" i="110"/>
  <c r="N28" i="110"/>
  <c r="M28" i="110"/>
  <c r="L28" i="110"/>
  <c r="K28" i="110"/>
  <c r="J28" i="110"/>
  <c r="I28" i="110"/>
  <c r="H28" i="110"/>
  <c r="G28" i="110"/>
  <c r="F28" i="110"/>
  <c r="E28" i="110"/>
  <c r="D28" i="110"/>
  <c r="C28" i="110"/>
  <c r="B28" i="110"/>
  <c r="Y25" i="110"/>
  <c r="Y30" i="110" s="1"/>
  <c r="Y32" i="110" s="1"/>
  <c r="X25" i="110"/>
  <c r="X30" i="110" s="1"/>
  <c r="X32" i="110" s="1"/>
  <c r="W25" i="110"/>
  <c r="W30" i="110" s="1"/>
  <c r="W32" i="110" s="1"/>
  <c r="V25" i="110"/>
  <c r="V30" i="110" s="1"/>
  <c r="V32" i="110" s="1"/>
  <c r="U25" i="110"/>
  <c r="U30" i="110" s="1"/>
  <c r="U32" i="110" s="1"/>
  <c r="T25" i="110"/>
  <c r="T30" i="110" s="1"/>
  <c r="T32" i="110" s="1"/>
  <c r="S25" i="110"/>
  <c r="S30" i="110" s="1"/>
  <c r="S32" i="110" s="1"/>
  <c r="R25" i="110"/>
  <c r="R30" i="110" s="1"/>
  <c r="R32" i="110" s="1"/>
  <c r="Q25" i="110"/>
  <c r="Q30" i="110" s="1"/>
  <c r="Q32" i="110" s="1"/>
  <c r="O25" i="110"/>
  <c r="O30" i="110" s="1"/>
  <c r="O32" i="110" s="1"/>
  <c r="N25" i="110"/>
  <c r="N30" i="110" s="1"/>
  <c r="N32" i="110" s="1"/>
  <c r="M25" i="110"/>
  <c r="M30" i="110" s="1"/>
  <c r="M32" i="110" s="1"/>
  <c r="L25" i="110"/>
  <c r="L30" i="110" s="1"/>
  <c r="L32" i="110" s="1"/>
  <c r="K25" i="110"/>
  <c r="J25" i="110"/>
  <c r="I25" i="110"/>
  <c r="H25" i="110"/>
  <c r="G25" i="110"/>
  <c r="F25" i="110"/>
  <c r="E25" i="110"/>
  <c r="D25" i="110"/>
  <c r="C25" i="110"/>
  <c r="B25" i="110"/>
  <c r="Z24" i="110"/>
  <c r="Z23" i="110"/>
  <c r="Z22" i="110"/>
  <c r="Z21" i="110"/>
  <c r="Z20" i="110"/>
  <c r="Z19" i="110"/>
  <c r="Z18" i="110"/>
  <c r="M31" i="112" l="1"/>
  <c r="C72" i="112"/>
  <c r="F72" i="112"/>
  <c r="D72" i="112"/>
  <c r="E72" i="112"/>
  <c r="P31" i="112"/>
  <c r="L31" i="112"/>
  <c r="O31" i="112"/>
  <c r="N31" i="112"/>
  <c r="J48" i="112"/>
  <c r="Z28" i="112"/>
  <c r="H67" i="112"/>
  <c r="U48" i="112"/>
  <c r="U46" i="112"/>
  <c r="G66" i="110"/>
  <c r="G69" i="110" s="1"/>
  <c r="D51" i="110"/>
  <c r="E51" i="110"/>
  <c r="F51" i="110"/>
  <c r="J30" i="110"/>
  <c r="J32" i="110" s="1"/>
  <c r="K30" i="110"/>
  <c r="K32" i="110" s="1"/>
  <c r="B30" i="110"/>
  <c r="B32" i="110" s="1"/>
  <c r="C30" i="110"/>
  <c r="C32" i="110" s="1"/>
  <c r="D30" i="110"/>
  <c r="D32" i="110" s="1"/>
  <c r="E30" i="110"/>
  <c r="E32" i="110" s="1"/>
  <c r="F30" i="110"/>
  <c r="F32" i="110" s="1"/>
  <c r="P30" i="110"/>
  <c r="P32" i="110" s="1"/>
  <c r="G30" i="110"/>
  <c r="G32" i="110" s="1"/>
  <c r="H30" i="110"/>
  <c r="H32" i="110" s="1"/>
  <c r="G51" i="110"/>
  <c r="H51" i="110"/>
  <c r="C51" i="110"/>
  <c r="J45" i="110"/>
  <c r="J46" i="110" s="1"/>
  <c r="I51" i="110"/>
  <c r="M31" i="110"/>
  <c r="N31" i="110"/>
  <c r="P31" i="110"/>
  <c r="Z25" i="110"/>
  <c r="Z26" i="110" s="1"/>
  <c r="I31" i="110"/>
  <c r="Q31" i="110"/>
  <c r="R31" i="110"/>
  <c r="Q51" i="110"/>
  <c r="B31" i="110"/>
  <c r="S31" i="110"/>
  <c r="R51" i="110"/>
  <c r="B72" i="110"/>
  <c r="C31" i="110"/>
  <c r="T31" i="110"/>
  <c r="S51" i="110"/>
  <c r="C72" i="110"/>
  <c r="D31" i="110"/>
  <c r="U31" i="110"/>
  <c r="T51" i="110"/>
  <c r="D72" i="110"/>
  <c r="E31" i="110"/>
  <c r="V31" i="110"/>
  <c r="B50" i="110"/>
  <c r="B52" i="110" s="1"/>
  <c r="E72" i="110"/>
  <c r="F31" i="110"/>
  <c r="W31" i="110"/>
  <c r="F72" i="110"/>
  <c r="X31" i="110"/>
  <c r="U45" i="110"/>
  <c r="U46" i="110" s="1"/>
  <c r="H31" i="110"/>
  <c r="Y31" i="110"/>
  <c r="O31" i="110"/>
  <c r="B51" i="110"/>
  <c r="G31" i="110"/>
  <c r="L31" i="110"/>
  <c r="K31" i="110"/>
  <c r="J31" i="110"/>
  <c r="I30" i="110"/>
  <c r="I32" i="110" s="1"/>
  <c r="Q50" i="110"/>
  <c r="Q52" i="110" s="1"/>
  <c r="Y19" i="109"/>
  <c r="Y20" i="109"/>
  <c r="Y21" i="109"/>
  <c r="Y22" i="109"/>
  <c r="Y23" i="109"/>
  <c r="Y24" i="109"/>
  <c r="Y18" i="109"/>
  <c r="X25" i="109"/>
  <c r="X30" i="109" s="1"/>
  <c r="X32" i="109" s="1"/>
  <c r="X29" i="109"/>
  <c r="R28" i="109"/>
  <c r="S28" i="109"/>
  <c r="T28" i="109"/>
  <c r="U28" i="109"/>
  <c r="V28" i="109"/>
  <c r="W28" i="109"/>
  <c r="X28" i="109"/>
  <c r="Q28" i="109"/>
  <c r="P28" i="109"/>
  <c r="D28" i="109"/>
  <c r="E28" i="109"/>
  <c r="F28" i="109"/>
  <c r="G28" i="109"/>
  <c r="H28" i="109"/>
  <c r="I28" i="109"/>
  <c r="J28" i="109"/>
  <c r="K28" i="109"/>
  <c r="L28" i="109"/>
  <c r="M28" i="109"/>
  <c r="N28" i="109"/>
  <c r="O28" i="109"/>
  <c r="C28" i="109"/>
  <c r="B28" i="109"/>
  <c r="J48" i="110" l="1"/>
  <c r="G67" i="110"/>
  <c r="U48" i="110"/>
  <c r="Z28" i="110"/>
  <c r="X31" i="109"/>
  <c r="F70" i="109" l="1"/>
  <c r="E70" i="109"/>
  <c r="D70" i="109"/>
  <c r="C70" i="109"/>
  <c r="B70" i="109"/>
  <c r="F69" i="109"/>
  <c r="E69" i="109"/>
  <c r="D69" i="109"/>
  <c r="C69" i="109"/>
  <c r="B69" i="109"/>
  <c r="G68" i="109"/>
  <c r="F66" i="109"/>
  <c r="F71" i="109" s="1"/>
  <c r="F73" i="109" s="1"/>
  <c r="E66" i="109"/>
  <c r="E71" i="109" s="1"/>
  <c r="E73" i="109" s="1"/>
  <c r="D66" i="109"/>
  <c r="D71" i="109" s="1"/>
  <c r="D73" i="109" s="1"/>
  <c r="C66" i="109"/>
  <c r="C71" i="109" s="1"/>
  <c r="C73" i="109" s="1"/>
  <c r="B66" i="109"/>
  <c r="G65" i="109"/>
  <c r="G64" i="109"/>
  <c r="G63" i="109"/>
  <c r="G62" i="109"/>
  <c r="G61" i="109"/>
  <c r="G60" i="109"/>
  <c r="G59" i="109"/>
  <c r="T49" i="109"/>
  <c r="S49" i="109"/>
  <c r="R49" i="109"/>
  <c r="Q49" i="109"/>
  <c r="I49" i="109"/>
  <c r="H49" i="109"/>
  <c r="G49" i="109"/>
  <c r="F49" i="109"/>
  <c r="E49" i="109"/>
  <c r="D49" i="109"/>
  <c r="C49" i="109"/>
  <c r="B49" i="109"/>
  <c r="T48" i="109"/>
  <c r="S48" i="109"/>
  <c r="R48" i="109"/>
  <c r="Q48" i="109"/>
  <c r="I48" i="109"/>
  <c r="H48" i="109"/>
  <c r="G48" i="109"/>
  <c r="F48" i="109"/>
  <c r="E48" i="109"/>
  <c r="D48" i="109"/>
  <c r="C48" i="109"/>
  <c r="B48" i="109"/>
  <c r="U47" i="109"/>
  <c r="J47" i="109"/>
  <c r="T45" i="109"/>
  <c r="T50" i="109" s="1"/>
  <c r="T52" i="109" s="1"/>
  <c r="S45" i="109"/>
  <c r="S50" i="109" s="1"/>
  <c r="S52" i="109" s="1"/>
  <c r="R45" i="109"/>
  <c r="R50" i="109" s="1"/>
  <c r="R52" i="109" s="1"/>
  <c r="Q45" i="109"/>
  <c r="Q50" i="109" s="1"/>
  <c r="Q52" i="109" s="1"/>
  <c r="I45" i="109"/>
  <c r="I50" i="109" s="1"/>
  <c r="I52" i="109" s="1"/>
  <c r="H45" i="109"/>
  <c r="H50" i="109" s="1"/>
  <c r="H52" i="109" s="1"/>
  <c r="G45" i="109"/>
  <c r="G50" i="109" s="1"/>
  <c r="G52" i="109" s="1"/>
  <c r="F45" i="109"/>
  <c r="F50" i="109" s="1"/>
  <c r="F52" i="109" s="1"/>
  <c r="E45" i="109"/>
  <c r="E50" i="109" s="1"/>
  <c r="E52" i="109" s="1"/>
  <c r="D45" i="109"/>
  <c r="D50" i="109" s="1"/>
  <c r="D52" i="109" s="1"/>
  <c r="C45" i="109"/>
  <c r="C50" i="109" s="1"/>
  <c r="C52" i="109" s="1"/>
  <c r="B45" i="109"/>
  <c r="B50" i="109" s="1"/>
  <c r="B52" i="109" s="1"/>
  <c r="U44" i="109"/>
  <c r="J44" i="109"/>
  <c r="U43" i="109"/>
  <c r="J43" i="109"/>
  <c r="U42" i="109"/>
  <c r="J42" i="109"/>
  <c r="U41" i="109"/>
  <c r="J41" i="109"/>
  <c r="U40" i="109"/>
  <c r="J40" i="109"/>
  <c r="U39" i="109"/>
  <c r="J39" i="109"/>
  <c r="U38" i="109"/>
  <c r="J38" i="109"/>
  <c r="W29" i="109"/>
  <c r="V29" i="109"/>
  <c r="U29" i="109"/>
  <c r="T29" i="109"/>
  <c r="S29" i="109"/>
  <c r="R29" i="109"/>
  <c r="Q29" i="109"/>
  <c r="P29" i="109"/>
  <c r="O29" i="109"/>
  <c r="N29" i="109"/>
  <c r="M29" i="109"/>
  <c r="L29" i="109"/>
  <c r="K29" i="109"/>
  <c r="J29" i="109"/>
  <c r="I29" i="109"/>
  <c r="H29" i="109"/>
  <c r="G29" i="109"/>
  <c r="F29" i="109"/>
  <c r="E29" i="109"/>
  <c r="D29" i="109"/>
  <c r="C29" i="109"/>
  <c r="B29" i="109"/>
  <c r="Y27" i="109"/>
  <c r="W25" i="109"/>
  <c r="W30" i="109" s="1"/>
  <c r="W32" i="109" s="1"/>
  <c r="V25" i="109"/>
  <c r="U25" i="109"/>
  <c r="T25" i="109"/>
  <c r="S25" i="109"/>
  <c r="R25" i="109"/>
  <c r="Q25" i="109"/>
  <c r="Q30" i="109" s="1"/>
  <c r="Q32" i="109" s="1"/>
  <c r="P25" i="109"/>
  <c r="P30" i="109" s="1"/>
  <c r="P32" i="109" s="1"/>
  <c r="O25" i="109"/>
  <c r="O30" i="109" s="1"/>
  <c r="O32" i="109" s="1"/>
  <c r="N25" i="109"/>
  <c r="N30" i="109" s="1"/>
  <c r="N32" i="109" s="1"/>
  <c r="M25" i="109"/>
  <c r="M30" i="109" s="1"/>
  <c r="M32" i="109" s="1"/>
  <c r="L25" i="109"/>
  <c r="L30" i="109" s="1"/>
  <c r="L32" i="109" s="1"/>
  <c r="K25" i="109"/>
  <c r="K30" i="109" s="1"/>
  <c r="K32" i="109" s="1"/>
  <c r="J25" i="109"/>
  <c r="J30" i="109" s="1"/>
  <c r="J32" i="109" s="1"/>
  <c r="I25" i="109"/>
  <c r="I30" i="109" s="1"/>
  <c r="I32" i="109" s="1"/>
  <c r="H25" i="109"/>
  <c r="G25" i="109"/>
  <c r="G30" i="109" s="1"/>
  <c r="G32" i="109" s="1"/>
  <c r="F25" i="109"/>
  <c r="F30" i="109" s="1"/>
  <c r="F32" i="109" s="1"/>
  <c r="E25" i="109"/>
  <c r="E30" i="109" s="1"/>
  <c r="E32" i="109" s="1"/>
  <c r="D25" i="109"/>
  <c r="D30" i="109" s="1"/>
  <c r="D32" i="109" s="1"/>
  <c r="C25" i="109"/>
  <c r="C30" i="109" s="1"/>
  <c r="C32" i="109" s="1"/>
  <c r="B25" i="109"/>
  <c r="B30" i="109" s="1"/>
  <c r="B32" i="109" s="1"/>
  <c r="F31" i="109" l="1"/>
  <c r="I51" i="109"/>
  <c r="G51" i="109"/>
  <c r="H51" i="109"/>
  <c r="Q51" i="109"/>
  <c r="S51" i="109"/>
  <c r="M31" i="109"/>
  <c r="H31" i="109"/>
  <c r="G31" i="109"/>
  <c r="I31" i="109"/>
  <c r="G66" i="109"/>
  <c r="G67" i="109" s="1"/>
  <c r="J31" i="109"/>
  <c r="H30" i="109"/>
  <c r="H32" i="109" s="1"/>
  <c r="K31" i="109"/>
  <c r="L31" i="109"/>
  <c r="C51" i="109"/>
  <c r="C72" i="109"/>
  <c r="T31" i="109"/>
  <c r="D51" i="109"/>
  <c r="N31" i="109"/>
  <c r="E51" i="109"/>
  <c r="S31" i="109"/>
  <c r="O31" i="109"/>
  <c r="F51" i="109"/>
  <c r="R51" i="109"/>
  <c r="D72" i="109"/>
  <c r="C31" i="109"/>
  <c r="T51" i="109"/>
  <c r="B72" i="109"/>
  <c r="B31" i="109"/>
  <c r="D31" i="109"/>
  <c r="B71" i="109"/>
  <c r="B73" i="109" s="1"/>
  <c r="E31" i="109"/>
  <c r="B51" i="109"/>
  <c r="W31" i="109"/>
  <c r="Y25" i="109"/>
  <c r="Y28" i="109" s="1"/>
  <c r="U31" i="109"/>
  <c r="V31" i="109"/>
  <c r="R31" i="109"/>
  <c r="R30" i="109"/>
  <c r="R32" i="109" s="1"/>
  <c r="S30" i="109"/>
  <c r="S32" i="109" s="1"/>
  <c r="T30" i="109"/>
  <c r="T32" i="109" s="1"/>
  <c r="U30" i="109"/>
  <c r="U32" i="109" s="1"/>
  <c r="P31" i="109"/>
  <c r="V30" i="109"/>
  <c r="V32" i="109" s="1"/>
  <c r="Q31" i="109"/>
  <c r="E72" i="109"/>
  <c r="F72" i="109"/>
  <c r="J45" i="109"/>
  <c r="U45" i="109"/>
  <c r="G69" i="109" l="1"/>
  <c r="Y26" i="109"/>
  <c r="U46" i="109"/>
  <c r="U48" i="109"/>
  <c r="J48" i="109"/>
  <c r="J46" i="109"/>
  <c r="C70" i="108"/>
  <c r="D70" i="108"/>
  <c r="E70" i="108"/>
  <c r="F70" i="108"/>
  <c r="B70" i="108"/>
  <c r="R49" i="108"/>
  <c r="S49" i="108"/>
  <c r="T49" i="108"/>
  <c r="Q49" i="108"/>
  <c r="C49" i="108"/>
  <c r="D49" i="108"/>
  <c r="E49" i="108"/>
  <c r="F49" i="108"/>
  <c r="G49" i="108"/>
  <c r="H49" i="108"/>
  <c r="I49" i="108"/>
  <c r="B49" i="108"/>
  <c r="G61" i="108" l="1"/>
  <c r="G62" i="108"/>
  <c r="G63" i="108"/>
  <c r="G64" i="108"/>
  <c r="G65" i="108"/>
  <c r="G66" i="108"/>
  <c r="B29" i="108" l="1"/>
  <c r="U40" i="108" l="1"/>
  <c r="U41" i="108"/>
  <c r="U42" i="108"/>
  <c r="U43" i="108"/>
  <c r="U44" i="108"/>
  <c r="U45" i="108"/>
  <c r="U39" i="108"/>
  <c r="U48" i="108"/>
  <c r="T50" i="108" l="1"/>
  <c r="T46" i="108"/>
  <c r="F71" i="108"/>
  <c r="E71" i="108"/>
  <c r="D71" i="108"/>
  <c r="C71" i="108"/>
  <c r="B71" i="108"/>
  <c r="G69" i="108"/>
  <c r="E67" i="108"/>
  <c r="D67" i="108"/>
  <c r="C67" i="108"/>
  <c r="B67" i="108"/>
  <c r="G60" i="108"/>
  <c r="S50" i="108"/>
  <c r="R50" i="108"/>
  <c r="Q50" i="108"/>
  <c r="I50" i="108"/>
  <c r="H50" i="108"/>
  <c r="G50" i="108"/>
  <c r="F50" i="108"/>
  <c r="E50" i="108"/>
  <c r="D50" i="108"/>
  <c r="C50" i="108"/>
  <c r="B50" i="108"/>
  <c r="J48" i="108"/>
  <c r="J45" i="108"/>
  <c r="J43" i="108"/>
  <c r="B46" i="108"/>
  <c r="R46" i="108"/>
  <c r="I46" i="108"/>
  <c r="H46" i="108"/>
  <c r="G46" i="108"/>
  <c r="F46" i="108"/>
  <c r="E46" i="108"/>
  <c r="J40" i="108"/>
  <c r="J39" i="108"/>
  <c r="W29" i="108"/>
  <c r="V29" i="108"/>
  <c r="U29" i="108"/>
  <c r="T29" i="108"/>
  <c r="S29" i="108"/>
  <c r="R29" i="108"/>
  <c r="Q29" i="108"/>
  <c r="P29" i="108"/>
  <c r="O29" i="108"/>
  <c r="N29" i="108"/>
  <c r="M29" i="108"/>
  <c r="L29" i="108"/>
  <c r="K29" i="108"/>
  <c r="J29" i="108"/>
  <c r="I29" i="108"/>
  <c r="H29" i="108"/>
  <c r="G29" i="108"/>
  <c r="F29" i="108"/>
  <c r="E29" i="108"/>
  <c r="D29" i="108"/>
  <c r="C29" i="108"/>
  <c r="W28" i="108"/>
  <c r="V28" i="108"/>
  <c r="U28" i="108"/>
  <c r="T28" i="108"/>
  <c r="S28" i="108"/>
  <c r="R28" i="108"/>
  <c r="Q28" i="108"/>
  <c r="P28" i="108"/>
  <c r="O28" i="108"/>
  <c r="N28" i="108"/>
  <c r="M28" i="108"/>
  <c r="L28" i="108"/>
  <c r="K28" i="108"/>
  <c r="J28" i="108"/>
  <c r="I28" i="108"/>
  <c r="H28" i="108"/>
  <c r="G28" i="108"/>
  <c r="F28" i="108"/>
  <c r="E28" i="108"/>
  <c r="D28" i="108"/>
  <c r="C28" i="108"/>
  <c r="B28" i="108"/>
  <c r="Y27" i="108"/>
  <c r="W25" i="108"/>
  <c r="V25" i="108"/>
  <c r="U25" i="108"/>
  <c r="T25" i="108"/>
  <c r="S25" i="108"/>
  <c r="R25" i="108"/>
  <c r="Q25" i="108"/>
  <c r="P25" i="108"/>
  <c r="O25" i="108"/>
  <c r="N25" i="108"/>
  <c r="M25" i="108"/>
  <c r="L25" i="108"/>
  <c r="K25" i="108"/>
  <c r="J25" i="108"/>
  <c r="I25" i="108"/>
  <c r="H25" i="108"/>
  <c r="G25" i="108"/>
  <c r="F25" i="108"/>
  <c r="E25" i="108"/>
  <c r="D25" i="108"/>
  <c r="C25" i="108"/>
  <c r="B25" i="108"/>
  <c r="B31" i="108" s="1"/>
  <c r="Y24" i="108"/>
  <c r="Y23" i="108"/>
  <c r="Y22" i="108"/>
  <c r="Y21" i="108"/>
  <c r="Y20" i="108"/>
  <c r="Y19" i="108"/>
  <c r="Y18" i="108"/>
  <c r="R52" i="108" l="1"/>
  <c r="T52" i="108"/>
  <c r="B52" i="108"/>
  <c r="E72" i="108"/>
  <c r="E74" i="108" s="1"/>
  <c r="E73" i="108"/>
  <c r="D72" i="108"/>
  <c r="D74" i="108" s="1"/>
  <c r="D73" i="108"/>
  <c r="C72" i="108"/>
  <c r="C74" i="108" s="1"/>
  <c r="C73" i="108"/>
  <c r="B72" i="108"/>
  <c r="B74" i="108" s="1"/>
  <c r="B73" i="108"/>
  <c r="T51" i="108"/>
  <c r="T53" i="108" s="1"/>
  <c r="R51" i="108"/>
  <c r="R53" i="108" s="1"/>
  <c r="I51" i="108"/>
  <c r="I53" i="108" s="1"/>
  <c r="I52" i="108"/>
  <c r="H51" i="108"/>
  <c r="H53" i="108" s="1"/>
  <c r="H52" i="108"/>
  <c r="G51" i="108"/>
  <c r="G53" i="108" s="1"/>
  <c r="G52" i="108"/>
  <c r="F51" i="108"/>
  <c r="F53" i="108" s="1"/>
  <c r="F52" i="108"/>
  <c r="E51" i="108"/>
  <c r="E53" i="108" s="1"/>
  <c r="E52" i="108"/>
  <c r="W30" i="108"/>
  <c r="W32" i="108" s="1"/>
  <c r="W31" i="108"/>
  <c r="V30" i="108"/>
  <c r="V32" i="108" s="1"/>
  <c r="V31" i="108"/>
  <c r="U30" i="108"/>
  <c r="U32" i="108" s="1"/>
  <c r="U31" i="108"/>
  <c r="T30" i="108"/>
  <c r="T32" i="108" s="1"/>
  <c r="T31" i="108"/>
  <c r="S30" i="108"/>
  <c r="S32" i="108" s="1"/>
  <c r="S31" i="108"/>
  <c r="R30" i="108"/>
  <c r="R32" i="108" s="1"/>
  <c r="R31" i="108"/>
  <c r="Q30" i="108"/>
  <c r="Q32" i="108" s="1"/>
  <c r="Q31" i="108"/>
  <c r="P30" i="108"/>
  <c r="P32" i="108" s="1"/>
  <c r="P31" i="108"/>
  <c r="O30" i="108"/>
  <c r="O32" i="108" s="1"/>
  <c r="O31" i="108"/>
  <c r="N30" i="108"/>
  <c r="N32" i="108" s="1"/>
  <c r="N31" i="108"/>
  <c r="M30" i="108"/>
  <c r="M32" i="108" s="1"/>
  <c r="M31" i="108"/>
  <c r="L30" i="108"/>
  <c r="L32" i="108" s="1"/>
  <c r="L31" i="108"/>
  <c r="K30" i="108"/>
  <c r="K32" i="108" s="1"/>
  <c r="K31" i="108"/>
  <c r="J30" i="108"/>
  <c r="J32" i="108" s="1"/>
  <c r="J31" i="108"/>
  <c r="I30" i="108"/>
  <c r="I32" i="108" s="1"/>
  <c r="I31" i="108"/>
  <c r="H30" i="108"/>
  <c r="H32" i="108" s="1"/>
  <c r="H31" i="108"/>
  <c r="G30" i="108"/>
  <c r="G32" i="108" s="1"/>
  <c r="G31" i="108"/>
  <c r="F30" i="108"/>
  <c r="F32" i="108" s="1"/>
  <c r="F31" i="108"/>
  <c r="E30" i="108"/>
  <c r="E32" i="108" s="1"/>
  <c r="E31" i="108"/>
  <c r="D30" i="108"/>
  <c r="D32" i="108" s="1"/>
  <c r="D31" i="108"/>
  <c r="C30" i="108"/>
  <c r="C32" i="108" s="1"/>
  <c r="C31" i="108"/>
  <c r="B30" i="108"/>
  <c r="B32" i="108" s="1"/>
  <c r="S46" i="108"/>
  <c r="S52" i="108" s="1"/>
  <c r="F67" i="108"/>
  <c r="G67" i="108"/>
  <c r="J41" i="108"/>
  <c r="J44" i="108"/>
  <c r="C46" i="108"/>
  <c r="D46" i="108"/>
  <c r="Y25" i="108"/>
  <c r="Y28" i="108" s="1"/>
  <c r="B51" i="108"/>
  <c r="B53" i="108" s="1"/>
  <c r="J42" i="108"/>
  <c r="Q46" i="108"/>
  <c r="Q52" i="108" s="1"/>
  <c r="F72" i="108" l="1"/>
  <c r="F74" i="108" s="1"/>
  <c r="F73" i="108"/>
  <c r="S51" i="108"/>
  <c r="S53" i="108" s="1"/>
  <c r="D51" i="108"/>
  <c r="D53" i="108" s="1"/>
  <c r="D52" i="108"/>
  <c r="C51" i="108"/>
  <c r="C53" i="108" s="1"/>
  <c r="C52" i="108"/>
  <c r="U46" i="108"/>
  <c r="J46" i="108"/>
  <c r="J49" i="108" s="1"/>
  <c r="Y26" i="108"/>
  <c r="Q51" i="108"/>
  <c r="Q53" i="108" s="1"/>
  <c r="G68" i="108"/>
  <c r="G70" i="108"/>
  <c r="D29" i="107"/>
  <c r="E29" i="107"/>
  <c r="F29" i="107"/>
  <c r="G29" i="107"/>
  <c r="H29" i="107"/>
  <c r="I29" i="107"/>
  <c r="J29" i="107"/>
  <c r="K29" i="107"/>
  <c r="L29" i="107"/>
  <c r="M29" i="107"/>
  <c r="N29" i="107"/>
  <c r="O29" i="107"/>
  <c r="P29" i="107"/>
  <c r="Q29" i="107"/>
  <c r="R29" i="107"/>
  <c r="S29" i="107"/>
  <c r="T29" i="107"/>
  <c r="U29" i="107"/>
  <c r="V29" i="107"/>
  <c r="W29" i="107"/>
  <c r="C29" i="107"/>
  <c r="C25" i="107"/>
  <c r="C31" i="107" l="1"/>
  <c r="J47" i="108"/>
  <c r="U47" i="108"/>
  <c r="U49" i="108"/>
  <c r="O28" i="107"/>
  <c r="X27" i="107"/>
  <c r="O25" i="107" l="1"/>
  <c r="G59" i="107"/>
  <c r="F69" i="107"/>
  <c r="E69" i="107"/>
  <c r="D69" i="107"/>
  <c r="C69" i="107"/>
  <c r="B69" i="107"/>
  <c r="F68" i="107"/>
  <c r="E68" i="107"/>
  <c r="D68" i="107"/>
  <c r="C68" i="107"/>
  <c r="B68" i="107"/>
  <c r="G67" i="107"/>
  <c r="F64" i="107"/>
  <c r="E64" i="107"/>
  <c r="D64" i="107"/>
  <c r="C64" i="107"/>
  <c r="B64" i="107"/>
  <c r="F63" i="107"/>
  <c r="E63" i="107"/>
  <c r="D63" i="107"/>
  <c r="C63" i="107"/>
  <c r="B63" i="107"/>
  <c r="G62" i="107"/>
  <c r="F61" i="107"/>
  <c r="E61" i="107"/>
  <c r="D61" i="107"/>
  <c r="C61" i="107"/>
  <c r="B61" i="107"/>
  <c r="F60" i="107"/>
  <c r="E60" i="107"/>
  <c r="D60" i="107"/>
  <c r="C60" i="107"/>
  <c r="B60" i="107"/>
  <c r="G58" i="107"/>
  <c r="S50" i="107"/>
  <c r="R50" i="107"/>
  <c r="Q50" i="107"/>
  <c r="I50" i="107"/>
  <c r="H50" i="107"/>
  <c r="G50" i="107"/>
  <c r="F50" i="107"/>
  <c r="E50" i="107"/>
  <c r="D50" i="107"/>
  <c r="C50" i="107"/>
  <c r="B50" i="107"/>
  <c r="S49" i="107"/>
  <c r="R49" i="107"/>
  <c r="Q49" i="107"/>
  <c r="I49" i="107"/>
  <c r="H49" i="107"/>
  <c r="G49" i="107"/>
  <c r="F49" i="107"/>
  <c r="E49" i="107"/>
  <c r="D49" i="107"/>
  <c r="C49" i="107"/>
  <c r="B49" i="107"/>
  <c r="T48" i="107"/>
  <c r="J48" i="107"/>
  <c r="S45" i="107"/>
  <c r="R45" i="107"/>
  <c r="Q45" i="107"/>
  <c r="I45" i="107"/>
  <c r="H45" i="107"/>
  <c r="G45" i="107"/>
  <c r="F45" i="107"/>
  <c r="E45" i="107"/>
  <c r="D45" i="107"/>
  <c r="C45" i="107"/>
  <c r="B45" i="107"/>
  <c r="S44" i="107"/>
  <c r="R44" i="107"/>
  <c r="Q44" i="107"/>
  <c r="I44" i="107"/>
  <c r="H44" i="107"/>
  <c r="G44" i="107"/>
  <c r="F44" i="107"/>
  <c r="E44" i="107"/>
  <c r="D44" i="107"/>
  <c r="C44" i="107"/>
  <c r="B44" i="107"/>
  <c r="T43" i="107"/>
  <c r="J43" i="107"/>
  <c r="S42" i="107"/>
  <c r="R42" i="107"/>
  <c r="Q42" i="107"/>
  <c r="I42" i="107"/>
  <c r="H42" i="107"/>
  <c r="G42" i="107"/>
  <c r="F42" i="107"/>
  <c r="E42" i="107"/>
  <c r="D42" i="107"/>
  <c r="C42" i="107"/>
  <c r="B42" i="107"/>
  <c r="S41" i="107"/>
  <c r="R41" i="107"/>
  <c r="Q41" i="107"/>
  <c r="I41" i="107"/>
  <c r="H41" i="107"/>
  <c r="G41" i="107"/>
  <c r="F41" i="107"/>
  <c r="E41" i="107"/>
  <c r="D41" i="107"/>
  <c r="C41" i="107"/>
  <c r="B41" i="107"/>
  <c r="T40" i="107"/>
  <c r="J40" i="107"/>
  <c r="T39" i="107"/>
  <c r="J39" i="107"/>
  <c r="B29" i="107"/>
  <c r="W28" i="107"/>
  <c r="V28" i="107"/>
  <c r="U28" i="107"/>
  <c r="T28" i="107"/>
  <c r="S28" i="107"/>
  <c r="R28" i="107"/>
  <c r="Q28" i="107"/>
  <c r="P28" i="107"/>
  <c r="N28" i="107"/>
  <c r="M28" i="107"/>
  <c r="L28" i="107"/>
  <c r="K28" i="107"/>
  <c r="J28" i="107"/>
  <c r="I28" i="107"/>
  <c r="H28" i="107"/>
  <c r="G28" i="107"/>
  <c r="F28" i="107"/>
  <c r="E28" i="107"/>
  <c r="D28" i="107"/>
  <c r="C28" i="107"/>
  <c r="B28" i="107"/>
  <c r="X22" i="107"/>
  <c r="X19" i="107"/>
  <c r="X18" i="107"/>
  <c r="O30" i="107" l="1"/>
  <c r="O31" i="107"/>
  <c r="W25" i="107"/>
  <c r="T45" i="107"/>
  <c r="E25" i="107"/>
  <c r="U25" i="107"/>
  <c r="L25" i="107"/>
  <c r="D25" i="107"/>
  <c r="C65" i="107"/>
  <c r="C70" i="107" s="1"/>
  <c r="E46" i="107"/>
  <c r="E51" i="107" s="1"/>
  <c r="V25" i="107"/>
  <c r="J25" i="107"/>
  <c r="C30" i="107"/>
  <c r="G64" i="107"/>
  <c r="H25" i="107"/>
  <c r="M25" i="107"/>
  <c r="T41" i="107"/>
  <c r="G63" i="107"/>
  <c r="G61" i="107"/>
  <c r="F65" i="107"/>
  <c r="F70" i="107" s="1"/>
  <c r="S25" i="107"/>
  <c r="E65" i="107"/>
  <c r="E70" i="107" s="1"/>
  <c r="J44" i="107"/>
  <c r="T44" i="107"/>
  <c r="B65" i="107"/>
  <c r="B70" i="107" s="1"/>
  <c r="D65" i="107"/>
  <c r="D70" i="107" s="1"/>
  <c r="S46" i="107"/>
  <c r="S51" i="107" s="1"/>
  <c r="Q46" i="107"/>
  <c r="Q51" i="107" s="1"/>
  <c r="R46" i="107"/>
  <c r="R51" i="107" s="1"/>
  <c r="F46" i="107"/>
  <c r="F51" i="107" s="1"/>
  <c r="J42" i="107"/>
  <c r="H46" i="107"/>
  <c r="H51" i="107" s="1"/>
  <c r="J45" i="107"/>
  <c r="G46" i="107"/>
  <c r="G51" i="107" s="1"/>
  <c r="C46" i="107"/>
  <c r="C51" i="107" s="1"/>
  <c r="I46" i="107"/>
  <c r="I51" i="107" s="1"/>
  <c r="B46" i="107"/>
  <c r="D46" i="107"/>
  <c r="D51" i="107" s="1"/>
  <c r="X23" i="107"/>
  <c r="P25" i="107"/>
  <c r="X24" i="107"/>
  <c r="N25" i="107"/>
  <c r="F25" i="107"/>
  <c r="T25" i="107"/>
  <c r="K25" i="107"/>
  <c r="X21" i="107"/>
  <c r="G25" i="107"/>
  <c r="R25" i="107"/>
  <c r="I25" i="107"/>
  <c r="Q25" i="107"/>
  <c r="B25" i="107"/>
  <c r="X20" i="107"/>
  <c r="J41" i="107"/>
  <c r="G60" i="107"/>
  <c r="T42" i="107"/>
  <c r="G69" i="106"/>
  <c r="F69" i="106"/>
  <c r="E69" i="106"/>
  <c r="D69" i="106"/>
  <c r="C69" i="106"/>
  <c r="B69" i="106"/>
  <c r="G68" i="106"/>
  <c r="F68" i="106"/>
  <c r="E68" i="106"/>
  <c r="D68" i="106"/>
  <c r="C68" i="106"/>
  <c r="B68" i="106"/>
  <c r="H67" i="106"/>
  <c r="H62" i="106"/>
  <c r="H59" i="106"/>
  <c r="H58" i="106"/>
  <c r="T50" i="106"/>
  <c r="S50" i="106"/>
  <c r="R50" i="106"/>
  <c r="Q50" i="106"/>
  <c r="I50" i="106"/>
  <c r="H50" i="106"/>
  <c r="G50" i="106"/>
  <c r="F50" i="106"/>
  <c r="E50" i="106"/>
  <c r="D50" i="106"/>
  <c r="C50" i="106"/>
  <c r="B50" i="106"/>
  <c r="T49" i="106"/>
  <c r="S49" i="106"/>
  <c r="R49" i="106"/>
  <c r="Q49" i="106"/>
  <c r="I49" i="106"/>
  <c r="H49" i="106"/>
  <c r="G49" i="106"/>
  <c r="F49" i="106"/>
  <c r="E49" i="106"/>
  <c r="D49" i="106"/>
  <c r="C49" i="106"/>
  <c r="B49" i="106"/>
  <c r="U48" i="106"/>
  <c r="J48" i="106"/>
  <c r="U43" i="106"/>
  <c r="J43" i="106"/>
  <c r="U40" i="106"/>
  <c r="J40" i="106"/>
  <c r="U39" i="106"/>
  <c r="J39" i="106"/>
  <c r="V29" i="106"/>
  <c r="U29" i="106"/>
  <c r="T29" i="106"/>
  <c r="S29" i="106"/>
  <c r="R29" i="106"/>
  <c r="Q29" i="106"/>
  <c r="P29" i="106"/>
  <c r="O29" i="106"/>
  <c r="N29" i="106"/>
  <c r="M29" i="106"/>
  <c r="L29" i="106"/>
  <c r="K29" i="106"/>
  <c r="J29" i="106"/>
  <c r="I29" i="106"/>
  <c r="H29" i="106"/>
  <c r="G29" i="106"/>
  <c r="F29" i="106"/>
  <c r="E29" i="106"/>
  <c r="D29" i="106"/>
  <c r="C29" i="106"/>
  <c r="B29" i="106"/>
  <c r="V28" i="106"/>
  <c r="U28" i="106"/>
  <c r="T28" i="106"/>
  <c r="S28" i="106"/>
  <c r="R28" i="106"/>
  <c r="Q28" i="106"/>
  <c r="P28" i="106"/>
  <c r="O28" i="106"/>
  <c r="N28" i="106"/>
  <c r="M28" i="106"/>
  <c r="L28" i="106"/>
  <c r="K28" i="106"/>
  <c r="J28" i="106"/>
  <c r="I28" i="106"/>
  <c r="H28" i="106"/>
  <c r="G28" i="106"/>
  <c r="F28" i="106"/>
  <c r="E28" i="106"/>
  <c r="D28" i="106"/>
  <c r="C28" i="106"/>
  <c r="B28" i="106"/>
  <c r="W27" i="106"/>
  <c r="V24" i="106"/>
  <c r="U24" i="106"/>
  <c r="T24" i="106"/>
  <c r="S24" i="106"/>
  <c r="R24" i="106"/>
  <c r="Q24" i="106"/>
  <c r="P24" i="106"/>
  <c r="O24" i="106"/>
  <c r="N24" i="106"/>
  <c r="M24" i="106"/>
  <c r="L24" i="106"/>
  <c r="K24" i="106"/>
  <c r="J24" i="106"/>
  <c r="I24" i="106"/>
  <c r="H24" i="106"/>
  <c r="G24" i="106"/>
  <c r="F24" i="106"/>
  <c r="E24" i="106"/>
  <c r="D24" i="106"/>
  <c r="C24" i="106"/>
  <c r="B24" i="106"/>
  <c r="V23" i="106"/>
  <c r="U23" i="106"/>
  <c r="T23" i="106"/>
  <c r="S23" i="106"/>
  <c r="R23" i="106"/>
  <c r="Q23" i="106"/>
  <c r="P23" i="106"/>
  <c r="O23" i="106"/>
  <c r="N23" i="106"/>
  <c r="M23" i="106"/>
  <c r="L23" i="106"/>
  <c r="K23" i="106"/>
  <c r="J23" i="106"/>
  <c r="I23" i="106"/>
  <c r="H23" i="106"/>
  <c r="G23" i="106"/>
  <c r="F23" i="106"/>
  <c r="E23" i="106"/>
  <c r="D23" i="106"/>
  <c r="C23" i="106"/>
  <c r="B23" i="106"/>
  <c r="W22" i="106"/>
  <c r="V21" i="106"/>
  <c r="U21" i="106"/>
  <c r="T21" i="106"/>
  <c r="S21" i="106"/>
  <c r="R21" i="106"/>
  <c r="Q21" i="106"/>
  <c r="P21" i="106"/>
  <c r="O21" i="106"/>
  <c r="N21" i="106"/>
  <c r="M21" i="106"/>
  <c r="L21" i="106"/>
  <c r="K21" i="106"/>
  <c r="J21" i="106"/>
  <c r="I21" i="106"/>
  <c r="H21" i="106"/>
  <c r="G21" i="106"/>
  <c r="F21" i="106"/>
  <c r="E21" i="106"/>
  <c r="D21" i="106"/>
  <c r="C21" i="106"/>
  <c r="B21" i="106"/>
  <c r="V20" i="106"/>
  <c r="U20" i="106"/>
  <c r="T20" i="106"/>
  <c r="S20" i="106"/>
  <c r="R20" i="106"/>
  <c r="Q20" i="106"/>
  <c r="P20" i="106"/>
  <c r="O20" i="106"/>
  <c r="N20" i="106"/>
  <c r="M20" i="106"/>
  <c r="L20" i="106"/>
  <c r="K20" i="106"/>
  <c r="J20" i="106"/>
  <c r="I20" i="106"/>
  <c r="H20" i="106"/>
  <c r="G20" i="106"/>
  <c r="F20" i="106"/>
  <c r="E20" i="106"/>
  <c r="D20" i="106"/>
  <c r="C20" i="106"/>
  <c r="B20" i="106"/>
  <c r="W19" i="106"/>
  <c r="W18" i="106"/>
  <c r="H30" i="107" l="1"/>
  <c r="H31" i="107"/>
  <c r="N30" i="107"/>
  <c r="N31" i="107"/>
  <c r="M30" i="107"/>
  <c r="M31" i="107"/>
  <c r="T30" i="107"/>
  <c r="T31" i="107"/>
  <c r="B25" i="106"/>
  <c r="B30" i="106" s="1"/>
  <c r="Q30" i="107"/>
  <c r="Q31" i="107"/>
  <c r="R30" i="107"/>
  <c r="R31" i="107"/>
  <c r="U44" i="106"/>
  <c r="W30" i="107"/>
  <c r="W31" i="107"/>
  <c r="V30" i="107"/>
  <c r="V31" i="107"/>
  <c r="U30" i="107"/>
  <c r="U31" i="107"/>
  <c r="S30" i="107"/>
  <c r="S31" i="107"/>
  <c r="P30" i="107"/>
  <c r="P31" i="107"/>
  <c r="L30" i="107"/>
  <c r="L31" i="107"/>
  <c r="K30" i="107"/>
  <c r="K31" i="107"/>
  <c r="J30" i="107"/>
  <c r="J31" i="107"/>
  <c r="I30" i="107"/>
  <c r="I31" i="107"/>
  <c r="G30" i="107"/>
  <c r="G31" i="107"/>
  <c r="F30" i="107"/>
  <c r="F31" i="107"/>
  <c r="E30" i="107"/>
  <c r="E31" i="107"/>
  <c r="D30" i="107"/>
  <c r="D31" i="107"/>
  <c r="B30" i="107"/>
  <c r="B31" i="107"/>
  <c r="J25" i="106"/>
  <c r="J30" i="106" s="1"/>
  <c r="J46" i="107"/>
  <c r="J49" i="107" s="1"/>
  <c r="G65" i="107"/>
  <c r="G66" i="107" s="1"/>
  <c r="T46" i="107"/>
  <c r="T49" i="107" s="1"/>
  <c r="B51" i="107"/>
  <c r="X25" i="107"/>
  <c r="X26" i="107" s="1"/>
  <c r="G65" i="106"/>
  <c r="D65" i="106"/>
  <c r="C46" i="106"/>
  <c r="B46" i="106"/>
  <c r="R25" i="106"/>
  <c r="R30" i="106" s="1"/>
  <c r="H61" i="106"/>
  <c r="C65" i="106"/>
  <c r="H60" i="106"/>
  <c r="E65" i="106"/>
  <c r="F65" i="106"/>
  <c r="F70" i="106" s="1"/>
  <c r="H64" i="106"/>
  <c r="H63" i="106"/>
  <c r="Q46" i="106"/>
  <c r="U45" i="106"/>
  <c r="S46" i="106"/>
  <c r="U42" i="106"/>
  <c r="T46" i="106"/>
  <c r="U41" i="106"/>
  <c r="E46" i="106"/>
  <c r="F46" i="106"/>
  <c r="G46" i="106"/>
  <c r="D46" i="106"/>
  <c r="J44" i="106"/>
  <c r="H46" i="106"/>
  <c r="J45" i="106"/>
  <c r="J41" i="106"/>
  <c r="J42" i="106"/>
  <c r="I25" i="106"/>
  <c r="I30" i="106" s="1"/>
  <c r="Q25" i="106"/>
  <c r="Q30" i="106" s="1"/>
  <c r="C25" i="106"/>
  <c r="C30" i="106" s="1"/>
  <c r="K25" i="106"/>
  <c r="K30" i="106" s="1"/>
  <c r="S25" i="106"/>
  <c r="S30" i="106" s="1"/>
  <c r="G25" i="106"/>
  <c r="G30" i="106" s="1"/>
  <c r="O25" i="106"/>
  <c r="O30" i="106" s="1"/>
  <c r="U25" i="106"/>
  <c r="U30" i="106" s="1"/>
  <c r="N25" i="106"/>
  <c r="N30" i="106" s="1"/>
  <c r="V25" i="106"/>
  <c r="V30" i="106" s="1"/>
  <c r="W23" i="106"/>
  <c r="E25" i="106"/>
  <c r="E30" i="106" s="1"/>
  <c r="F25" i="106"/>
  <c r="F30" i="106" s="1"/>
  <c r="W24" i="106"/>
  <c r="H25" i="106"/>
  <c r="H30" i="106" s="1"/>
  <c r="P25" i="106"/>
  <c r="P30" i="106" s="1"/>
  <c r="M25" i="106"/>
  <c r="M30" i="106" s="1"/>
  <c r="W21" i="106"/>
  <c r="L25" i="106"/>
  <c r="L30" i="106" s="1"/>
  <c r="T25" i="106"/>
  <c r="T30" i="106" s="1"/>
  <c r="R46" i="106"/>
  <c r="W20" i="106"/>
  <c r="D25" i="106"/>
  <c r="D30" i="106" s="1"/>
  <c r="I46" i="106"/>
  <c r="B65" i="106"/>
  <c r="B70" i="106" s="1"/>
  <c r="F71" i="106" l="1"/>
  <c r="B71" i="106"/>
  <c r="T51" i="106"/>
  <c r="T52" i="106"/>
  <c r="R51" i="106"/>
  <c r="R52" i="106"/>
  <c r="S51" i="106"/>
  <c r="S52" i="106"/>
  <c r="Q51" i="106"/>
  <c r="Q52" i="106"/>
  <c r="I51" i="106"/>
  <c r="I52" i="106"/>
  <c r="H51" i="106"/>
  <c r="H52" i="106"/>
  <c r="G51" i="106"/>
  <c r="G52" i="106"/>
  <c r="F51" i="106"/>
  <c r="F52" i="106"/>
  <c r="E51" i="106"/>
  <c r="E52" i="106"/>
  <c r="D51" i="106"/>
  <c r="D52" i="106"/>
  <c r="C51" i="106"/>
  <c r="C52" i="106"/>
  <c r="B51" i="106"/>
  <c r="B52" i="106"/>
  <c r="G70" i="106"/>
  <c r="G71" i="106"/>
  <c r="E70" i="106"/>
  <c r="E71" i="106"/>
  <c r="D70" i="106"/>
  <c r="D71" i="106"/>
  <c r="C70" i="106"/>
  <c r="C71" i="106"/>
  <c r="X28" i="107"/>
  <c r="T47" i="107"/>
  <c r="G68" i="107"/>
  <c r="J47" i="107"/>
  <c r="H65" i="106"/>
  <c r="H66" i="106" s="1"/>
  <c r="W25" i="106"/>
  <c r="W26" i="106" s="1"/>
  <c r="U46" i="106"/>
  <c r="U49" i="106" s="1"/>
  <c r="J46" i="106"/>
  <c r="J47" i="106" s="1"/>
  <c r="G61" i="104"/>
  <c r="G63" i="104"/>
  <c r="G64" i="104"/>
  <c r="G60" i="104"/>
  <c r="F61" i="104"/>
  <c r="F63" i="104"/>
  <c r="F64" i="104"/>
  <c r="F60" i="104"/>
  <c r="E61" i="104"/>
  <c r="E63" i="104"/>
  <c r="E64" i="104"/>
  <c r="E60" i="104"/>
  <c r="D61" i="104"/>
  <c r="D63" i="104"/>
  <c r="D64" i="104"/>
  <c r="D60" i="104"/>
  <c r="C61" i="104"/>
  <c r="C63" i="104"/>
  <c r="C64" i="104"/>
  <c r="C60" i="104"/>
  <c r="B60" i="104"/>
  <c r="B61" i="104"/>
  <c r="B63" i="104"/>
  <c r="B64" i="104"/>
  <c r="T42" i="104"/>
  <c r="U43" i="104"/>
  <c r="T44" i="104"/>
  <c r="T45" i="104"/>
  <c r="T41" i="104"/>
  <c r="S42" i="104"/>
  <c r="S44" i="104"/>
  <c r="S45" i="104"/>
  <c r="S41" i="104"/>
  <c r="R42" i="104"/>
  <c r="R44" i="104"/>
  <c r="R45" i="104"/>
  <c r="R41" i="104"/>
  <c r="Q42" i="104"/>
  <c r="Q44" i="104"/>
  <c r="Q45" i="104"/>
  <c r="Q41" i="104"/>
  <c r="I42" i="104"/>
  <c r="I44" i="104"/>
  <c r="I45" i="104"/>
  <c r="I41" i="104"/>
  <c r="H42" i="104"/>
  <c r="H44" i="104"/>
  <c r="H45" i="104"/>
  <c r="H41" i="104"/>
  <c r="G42" i="104"/>
  <c r="G44" i="104"/>
  <c r="G45" i="104"/>
  <c r="G41" i="104"/>
  <c r="F42" i="104"/>
  <c r="F44" i="104"/>
  <c r="F45" i="104"/>
  <c r="F41" i="104"/>
  <c r="E42" i="104"/>
  <c r="E44" i="104"/>
  <c r="E45" i="104"/>
  <c r="E41" i="104"/>
  <c r="D42" i="104"/>
  <c r="D44" i="104"/>
  <c r="D45" i="104"/>
  <c r="D41" i="104"/>
  <c r="C42" i="104"/>
  <c r="C44" i="104"/>
  <c r="C45" i="104"/>
  <c r="C41" i="104"/>
  <c r="B42" i="104"/>
  <c r="B44" i="104"/>
  <c r="B45" i="104"/>
  <c r="B41" i="104"/>
  <c r="W19" i="104"/>
  <c r="V21" i="104"/>
  <c r="V23" i="104"/>
  <c r="V24" i="104"/>
  <c r="V20" i="104"/>
  <c r="U21" i="104"/>
  <c r="U23" i="104"/>
  <c r="U24" i="104"/>
  <c r="U20" i="104"/>
  <c r="T21" i="104"/>
  <c r="T23" i="104"/>
  <c r="T24" i="104"/>
  <c r="T20" i="104"/>
  <c r="S21" i="104"/>
  <c r="S23" i="104"/>
  <c r="S24" i="104"/>
  <c r="S20" i="104"/>
  <c r="R21" i="104"/>
  <c r="R23" i="104"/>
  <c r="R24" i="104"/>
  <c r="R20" i="104"/>
  <c r="Q21" i="104"/>
  <c r="Q23" i="104"/>
  <c r="Q24" i="104"/>
  <c r="Q20" i="104"/>
  <c r="P21" i="104"/>
  <c r="P23" i="104"/>
  <c r="P24" i="104"/>
  <c r="P20" i="104"/>
  <c r="O21" i="104"/>
  <c r="O23" i="104"/>
  <c r="O24" i="104"/>
  <c r="O20" i="104"/>
  <c r="N21" i="104"/>
  <c r="N23" i="104"/>
  <c r="N24" i="104"/>
  <c r="N20" i="104"/>
  <c r="M21" i="104"/>
  <c r="M23" i="104"/>
  <c r="M24" i="104"/>
  <c r="M20" i="104"/>
  <c r="L21" i="104"/>
  <c r="L23" i="104"/>
  <c r="L24" i="104"/>
  <c r="L20" i="104"/>
  <c r="K21" i="104"/>
  <c r="K23" i="104"/>
  <c r="K24" i="104"/>
  <c r="K20" i="104"/>
  <c r="J21" i="104"/>
  <c r="J23" i="104"/>
  <c r="J24" i="104"/>
  <c r="J20" i="104"/>
  <c r="I21" i="104"/>
  <c r="I23" i="104"/>
  <c r="I24" i="104"/>
  <c r="I20" i="104"/>
  <c r="H21" i="104"/>
  <c r="H23" i="104"/>
  <c r="H24" i="104"/>
  <c r="H20" i="104"/>
  <c r="G21" i="104"/>
  <c r="G23" i="104"/>
  <c r="G24" i="104"/>
  <c r="G20" i="104"/>
  <c r="F21" i="104"/>
  <c r="F23" i="104"/>
  <c r="F24" i="104"/>
  <c r="F20" i="104"/>
  <c r="E21" i="104"/>
  <c r="E23" i="104"/>
  <c r="E24" i="104"/>
  <c r="E20" i="104"/>
  <c r="D21" i="104"/>
  <c r="D23" i="104"/>
  <c r="D24" i="104"/>
  <c r="D20" i="104"/>
  <c r="C21" i="104"/>
  <c r="C23" i="104"/>
  <c r="C24" i="104"/>
  <c r="C20" i="104"/>
  <c r="B21" i="104"/>
  <c r="B23" i="104"/>
  <c r="B24" i="104"/>
  <c r="B20" i="104"/>
  <c r="W27" i="104"/>
  <c r="G69" i="104"/>
  <c r="F69" i="104"/>
  <c r="E69" i="104"/>
  <c r="D69" i="104"/>
  <c r="C69" i="104"/>
  <c r="B69" i="104"/>
  <c r="G68" i="104"/>
  <c r="F68" i="104"/>
  <c r="E68" i="104"/>
  <c r="D68" i="104"/>
  <c r="C68" i="104"/>
  <c r="B68" i="104"/>
  <c r="H67" i="104"/>
  <c r="H59" i="104"/>
  <c r="H58" i="104"/>
  <c r="T50" i="104"/>
  <c r="S50" i="104"/>
  <c r="R50" i="104"/>
  <c r="Q50" i="104"/>
  <c r="I50" i="104"/>
  <c r="H50" i="104"/>
  <c r="G50" i="104"/>
  <c r="F50" i="104"/>
  <c r="E50" i="104"/>
  <c r="D50" i="104"/>
  <c r="C50" i="104"/>
  <c r="B50" i="104"/>
  <c r="T49" i="104"/>
  <c r="S49" i="104"/>
  <c r="R49" i="104"/>
  <c r="Q49" i="104"/>
  <c r="I49" i="104"/>
  <c r="H49" i="104"/>
  <c r="G49" i="104"/>
  <c r="F49" i="104"/>
  <c r="E49" i="104"/>
  <c r="D49" i="104"/>
  <c r="C49" i="104"/>
  <c r="B49" i="104"/>
  <c r="U48" i="104"/>
  <c r="J48" i="104"/>
  <c r="U40" i="104"/>
  <c r="J40" i="104"/>
  <c r="U39" i="104"/>
  <c r="J39" i="104"/>
  <c r="V29" i="104"/>
  <c r="U29" i="104"/>
  <c r="T29" i="104"/>
  <c r="S29" i="104"/>
  <c r="R29" i="104"/>
  <c r="Q29" i="104"/>
  <c r="P29" i="104"/>
  <c r="O29" i="104"/>
  <c r="N29" i="104"/>
  <c r="M29" i="104"/>
  <c r="L29" i="104"/>
  <c r="K29" i="104"/>
  <c r="J29" i="104"/>
  <c r="I29" i="104"/>
  <c r="H29" i="104"/>
  <c r="G29" i="104"/>
  <c r="F29" i="104"/>
  <c r="E29" i="104"/>
  <c r="D29" i="104"/>
  <c r="C29" i="104"/>
  <c r="B29" i="104"/>
  <c r="V28" i="104"/>
  <c r="U28" i="104"/>
  <c r="T28" i="104"/>
  <c r="S28" i="104"/>
  <c r="R28" i="104"/>
  <c r="Q28" i="104"/>
  <c r="P28" i="104"/>
  <c r="O28" i="104"/>
  <c r="N28" i="104"/>
  <c r="M28" i="104"/>
  <c r="L28" i="104"/>
  <c r="K28" i="104"/>
  <c r="J28" i="104"/>
  <c r="I28" i="104"/>
  <c r="H28" i="104"/>
  <c r="G28" i="104"/>
  <c r="F28" i="104"/>
  <c r="E28" i="104"/>
  <c r="D28" i="104"/>
  <c r="C28" i="104"/>
  <c r="B28" i="104"/>
  <c r="W18" i="104"/>
  <c r="H68" i="106" l="1"/>
  <c r="J49" i="106"/>
  <c r="W28" i="106"/>
  <c r="U47" i="106"/>
  <c r="C65" i="104"/>
  <c r="C70" i="104" s="1"/>
  <c r="H64" i="104"/>
  <c r="G65" i="104"/>
  <c r="G70" i="104" s="1"/>
  <c r="B65" i="104"/>
  <c r="B70" i="104" s="1"/>
  <c r="F65" i="104"/>
  <c r="F70" i="104" s="1"/>
  <c r="E65" i="104"/>
  <c r="E70" i="104" s="1"/>
  <c r="D65" i="104"/>
  <c r="D70" i="104" s="1"/>
  <c r="H60" i="104"/>
  <c r="H62" i="104"/>
  <c r="H61" i="104"/>
  <c r="S46" i="104"/>
  <c r="S51" i="104" s="1"/>
  <c r="U42" i="104"/>
  <c r="T46" i="104"/>
  <c r="T51" i="104" s="1"/>
  <c r="R46" i="104"/>
  <c r="R51" i="104" s="1"/>
  <c r="U41" i="104"/>
  <c r="F46" i="104"/>
  <c r="F51" i="104" s="1"/>
  <c r="I46" i="104"/>
  <c r="I51" i="104" s="1"/>
  <c r="J42" i="104"/>
  <c r="J43" i="104"/>
  <c r="C46" i="104"/>
  <c r="C51" i="104" s="1"/>
  <c r="H46" i="104"/>
  <c r="H51" i="104" s="1"/>
  <c r="E46" i="104"/>
  <c r="E51" i="104" s="1"/>
  <c r="D46" i="104"/>
  <c r="D51" i="104" s="1"/>
  <c r="G46" i="104"/>
  <c r="G51" i="104" s="1"/>
  <c r="J41" i="104"/>
  <c r="B46" i="104"/>
  <c r="P25" i="104"/>
  <c r="P30" i="104" s="1"/>
  <c r="J25" i="104"/>
  <c r="J30" i="104" s="1"/>
  <c r="V25" i="104"/>
  <c r="V30" i="104" s="1"/>
  <c r="U25" i="104"/>
  <c r="U30" i="104" s="1"/>
  <c r="T25" i="104"/>
  <c r="T30" i="104" s="1"/>
  <c r="S25" i="104"/>
  <c r="S30" i="104" s="1"/>
  <c r="R25" i="104"/>
  <c r="R30" i="104" s="1"/>
  <c r="Q25" i="104"/>
  <c r="Q30" i="104" s="1"/>
  <c r="O25" i="104"/>
  <c r="O30" i="104" s="1"/>
  <c r="N25" i="104"/>
  <c r="N30" i="104" s="1"/>
  <c r="M25" i="104"/>
  <c r="M30" i="104" s="1"/>
  <c r="L25" i="104"/>
  <c r="L30" i="104" s="1"/>
  <c r="W22" i="104"/>
  <c r="H25" i="104"/>
  <c r="H30" i="104" s="1"/>
  <c r="G25" i="104"/>
  <c r="G30" i="104" s="1"/>
  <c r="E25" i="104"/>
  <c r="E30" i="104" s="1"/>
  <c r="W21" i="104"/>
  <c r="C25" i="104"/>
  <c r="C30" i="104" s="1"/>
  <c r="B25" i="104"/>
  <c r="B30" i="104" s="1"/>
  <c r="W20" i="104"/>
  <c r="D25" i="104"/>
  <c r="D30" i="104" s="1"/>
  <c r="K25" i="104"/>
  <c r="K30" i="104" s="1"/>
  <c r="I25" i="104"/>
  <c r="I30" i="104" s="1"/>
  <c r="J45" i="104" l="1"/>
  <c r="J46" i="104"/>
  <c r="J47" i="104" s="1"/>
  <c r="J44" i="104"/>
  <c r="B51" i="104"/>
  <c r="W23" i="104"/>
  <c r="F25" i="104"/>
  <c r="F30" i="104" s="1"/>
  <c r="W24" i="104"/>
  <c r="J49" i="104" l="1"/>
  <c r="W25" i="104"/>
  <c r="W28" i="104" s="1"/>
  <c r="W26" i="104" l="1"/>
  <c r="W24" i="103" l="1"/>
  <c r="W23" i="103"/>
  <c r="V24" i="103"/>
  <c r="V23" i="103"/>
  <c r="U24" i="103"/>
  <c r="U23" i="103"/>
  <c r="T24" i="103"/>
  <c r="T23" i="103"/>
  <c r="S24" i="103"/>
  <c r="S23" i="103"/>
  <c r="Q24" i="103"/>
  <c r="Q23" i="103"/>
  <c r="P23" i="103"/>
  <c r="R23" i="103" l="1"/>
  <c r="R24" i="103"/>
  <c r="K24" i="103" l="1"/>
  <c r="K23" i="103"/>
  <c r="J24" i="103"/>
  <c r="J23" i="103"/>
  <c r="I24" i="103"/>
  <c r="I23" i="103"/>
  <c r="H24" i="103"/>
  <c r="H23" i="103"/>
  <c r="G23" i="103"/>
  <c r="F24" i="103"/>
  <c r="F23" i="103"/>
  <c r="E24" i="103"/>
  <c r="E23" i="103"/>
  <c r="D24" i="103"/>
  <c r="D23" i="103"/>
  <c r="C24" i="103"/>
  <c r="C23" i="103"/>
  <c r="B24" i="103"/>
  <c r="B23" i="103"/>
  <c r="I25" i="103" l="1"/>
  <c r="I30" i="103" s="1"/>
  <c r="K25" i="103"/>
  <c r="K30" i="103" s="1"/>
  <c r="F25" i="103"/>
  <c r="F30" i="103" s="1"/>
  <c r="H25" i="103"/>
  <c r="H30" i="103" s="1"/>
  <c r="D25" i="103"/>
  <c r="D30" i="103" s="1"/>
  <c r="E25" i="103"/>
  <c r="E30" i="103" s="1"/>
  <c r="C25" i="103"/>
  <c r="C30" i="103" s="1"/>
  <c r="H59" i="103"/>
  <c r="H60" i="103"/>
  <c r="H61" i="103"/>
  <c r="H62" i="103"/>
  <c r="H63" i="103"/>
  <c r="H64" i="103"/>
  <c r="H58" i="103"/>
  <c r="H67" i="103"/>
  <c r="F65" i="103"/>
  <c r="F70" i="103" s="1"/>
  <c r="E65" i="103"/>
  <c r="E70" i="103" s="1"/>
  <c r="D65" i="103"/>
  <c r="D70" i="103" s="1"/>
  <c r="C65" i="103"/>
  <c r="C70" i="103" s="1"/>
  <c r="B65" i="103"/>
  <c r="B70" i="103" s="1"/>
  <c r="N23" i="103"/>
  <c r="N24" i="103"/>
  <c r="N21" i="103"/>
  <c r="M21" i="103"/>
  <c r="M23" i="103"/>
  <c r="M24" i="103"/>
  <c r="L23" i="103"/>
  <c r="L24" i="103"/>
  <c r="L21" i="103"/>
  <c r="M25" i="103" l="1"/>
  <c r="M30" i="103" s="1"/>
  <c r="L25" i="103"/>
  <c r="N25" i="103"/>
  <c r="N30" i="103" s="1"/>
  <c r="H65" i="103"/>
  <c r="X27" i="103" l="1"/>
  <c r="G69" i="103" l="1"/>
  <c r="G68" i="103"/>
  <c r="G65" i="103" l="1"/>
  <c r="G70" i="103" s="1"/>
  <c r="T45" i="103"/>
  <c r="T44" i="103"/>
  <c r="S45" i="103"/>
  <c r="S44" i="103"/>
  <c r="R45" i="103"/>
  <c r="R44" i="103"/>
  <c r="Q45" i="103"/>
  <c r="Q44" i="103"/>
  <c r="I45" i="103"/>
  <c r="I44" i="103"/>
  <c r="H45" i="103"/>
  <c r="H44" i="103"/>
  <c r="G45" i="103"/>
  <c r="G44" i="103"/>
  <c r="F45" i="103"/>
  <c r="F44" i="103"/>
  <c r="E45" i="103"/>
  <c r="E44" i="103"/>
  <c r="D45" i="103"/>
  <c r="D44" i="103"/>
  <c r="C45" i="103"/>
  <c r="C44" i="103"/>
  <c r="B45" i="103"/>
  <c r="B44" i="103"/>
  <c r="U41" i="103"/>
  <c r="U42" i="103"/>
  <c r="U43" i="103"/>
  <c r="U40" i="103"/>
  <c r="U45" i="103" l="1"/>
  <c r="U44" i="103"/>
  <c r="X22" i="103" l="1"/>
  <c r="G24" i="103"/>
  <c r="G25" i="103" s="1"/>
  <c r="G30" i="103" s="1"/>
  <c r="X19" i="103"/>
  <c r="X18" i="103"/>
  <c r="N29" i="103"/>
  <c r="M29" i="103"/>
  <c r="L29" i="103"/>
  <c r="N28" i="103"/>
  <c r="M28" i="103"/>
  <c r="L28" i="103"/>
  <c r="B25" i="103" l="1"/>
  <c r="B30" i="103" s="1"/>
  <c r="L30" i="103"/>
  <c r="U48" i="103" l="1"/>
  <c r="T50" i="103"/>
  <c r="T49" i="103"/>
  <c r="J48" i="103"/>
  <c r="J39" i="103"/>
  <c r="I50" i="103"/>
  <c r="I49" i="103"/>
  <c r="F69" i="103"/>
  <c r="E69" i="103"/>
  <c r="D69" i="103"/>
  <c r="C69" i="103"/>
  <c r="B69" i="103"/>
  <c r="F68" i="103"/>
  <c r="E68" i="103"/>
  <c r="D68" i="103"/>
  <c r="C68" i="103"/>
  <c r="B68" i="103"/>
  <c r="S50" i="103"/>
  <c r="R50" i="103"/>
  <c r="Q50" i="103"/>
  <c r="H50" i="103"/>
  <c r="G50" i="103"/>
  <c r="F50" i="103"/>
  <c r="E50" i="103"/>
  <c r="D50" i="103"/>
  <c r="C50" i="103"/>
  <c r="B50" i="103"/>
  <c r="S49" i="103"/>
  <c r="R49" i="103"/>
  <c r="Q49" i="103"/>
  <c r="H49" i="103"/>
  <c r="G49" i="103"/>
  <c r="F49" i="103"/>
  <c r="E49" i="103"/>
  <c r="D49" i="103"/>
  <c r="C49" i="103"/>
  <c r="B49" i="103"/>
  <c r="U39" i="103"/>
  <c r="W29" i="103"/>
  <c r="V29" i="103"/>
  <c r="U29" i="103"/>
  <c r="T29" i="103"/>
  <c r="S29" i="103"/>
  <c r="R29" i="103"/>
  <c r="Q29" i="103"/>
  <c r="P29" i="103"/>
  <c r="K29" i="103"/>
  <c r="J29" i="103"/>
  <c r="I29" i="103"/>
  <c r="H29" i="103"/>
  <c r="G29" i="103"/>
  <c r="F29" i="103"/>
  <c r="E29" i="103"/>
  <c r="D29" i="103"/>
  <c r="C29" i="103"/>
  <c r="B29" i="103"/>
  <c r="W28" i="103"/>
  <c r="V28" i="103"/>
  <c r="U28" i="103"/>
  <c r="T28" i="103"/>
  <c r="S28" i="103"/>
  <c r="R28" i="103"/>
  <c r="Q28" i="103"/>
  <c r="P28" i="103"/>
  <c r="K28" i="103"/>
  <c r="J28" i="103"/>
  <c r="I28" i="103"/>
  <c r="H28" i="103"/>
  <c r="G28" i="103"/>
  <c r="F28" i="103"/>
  <c r="E28" i="103"/>
  <c r="D28" i="103"/>
  <c r="C28" i="103"/>
  <c r="B28" i="103"/>
  <c r="Q46" i="103" l="1"/>
  <c r="Q51" i="103" s="1"/>
  <c r="X20" i="103"/>
  <c r="X21" i="103"/>
  <c r="V25" i="103"/>
  <c r="V30" i="103" s="1"/>
  <c r="U25" i="103"/>
  <c r="U30" i="103" s="1"/>
  <c r="T25" i="103"/>
  <c r="T30" i="103" s="1"/>
  <c r="J42" i="103"/>
  <c r="F46" i="103"/>
  <c r="F51" i="103" s="1"/>
  <c r="J40" i="103"/>
  <c r="P25" i="103"/>
  <c r="P30" i="103" s="1"/>
  <c r="Q25" i="103"/>
  <c r="Q30" i="103" s="1"/>
  <c r="W25" i="103"/>
  <c r="W30" i="103" s="1"/>
  <c r="R25" i="103"/>
  <c r="R30" i="103" s="1"/>
  <c r="J25" i="103"/>
  <c r="J30" i="103" s="1"/>
  <c r="S25" i="103"/>
  <c r="S30" i="103" s="1"/>
  <c r="R46" i="103"/>
  <c r="R51" i="103" s="1"/>
  <c r="J45" i="103"/>
  <c r="D46" i="103"/>
  <c r="D51" i="103" s="1"/>
  <c r="T46" i="103" l="1"/>
  <c r="J41" i="103"/>
  <c r="C46" i="103"/>
  <c r="C51" i="103" s="1"/>
  <c r="H45" i="101"/>
  <c r="F45" i="101"/>
  <c r="E45" i="101"/>
  <c r="D45" i="101"/>
  <c r="C45" i="101"/>
  <c r="B45" i="101"/>
  <c r="T51" i="103" l="1"/>
  <c r="F69" i="102"/>
  <c r="E69" i="102"/>
  <c r="D69" i="102"/>
  <c r="C69" i="102"/>
  <c r="B69" i="102"/>
  <c r="F68" i="102"/>
  <c r="E68" i="102"/>
  <c r="D68" i="102"/>
  <c r="C68" i="102"/>
  <c r="B68" i="102"/>
  <c r="G67" i="102"/>
  <c r="F64" i="102"/>
  <c r="E64" i="102"/>
  <c r="D64" i="102"/>
  <c r="C64" i="102"/>
  <c r="B64" i="102"/>
  <c r="F63" i="102"/>
  <c r="E63" i="102"/>
  <c r="D63" i="102"/>
  <c r="C63" i="102"/>
  <c r="B63" i="102"/>
  <c r="G62" i="102"/>
  <c r="F61" i="102"/>
  <c r="E61" i="102"/>
  <c r="D61" i="102"/>
  <c r="C61" i="102"/>
  <c r="B61" i="102"/>
  <c r="F60" i="102"/>
  <c r="E60" i="102"/>
  <c r="D60" i="102"/>
  <c r="C60" i="102"/>
  <c r="B60" i="102"/>
  <c r="G59" i="102"/>
  <c r="G58" i="102"/>
  <c r="S50" i="102"/>
  <c r="R50" i="102"/>
  <c r="Q50" i="102"/>
  <c r="H50" i="102"/>
  <c r="G50" i="102"/>
  <c r="F50" i="102"/>
  <c r="E50" i="102"/>
  <c r="D50" i="102"/>
  <c r="C50" i="102"/>
  <c r="B50" i="102"/>
  <c r="S49" i="102"/>
  <c r="R49" i="102"/>
  <c r="Q49" i="102"/>
  <c r="H49" i="102"/>
  <c r="G49" i="102"/>
  <c r="F49" i="102"/>
  <c r="E49" i="102"/>
  <c r="D49" i="102"/>
  <c r="C49" i="102"/>
  <c r="B49" i="102"/>
  <c r="T48" i="102"/>
  <c r="I48" i="102"/>
  <c r="S45" i="102"/>
  <c r="R45" i="102"/>
  <c r="Q45" i="102"/>
  <c r="H45" i="102"/>
  <c r="G45" i="102"/>
  <c r="F45" i="102"/>
  <c r="E45" i="102"/>
  <c r="D45" i="102"/>
  <c r="C45" i="102"/>
  <c r="B45" i="102"/>
  <c r="S44" i="102"/>
  <c r="R44" i="102"/>
  <c r="Q44" i="102"/>
  <c r="H44" i="102"/>
  <c r="G44" i="102"/>
  <c r="F44" i="102"/>
  <c r="E44" i="102"/>
  <c r="D44" i="102"/>
  <c r="C44" i="102"/>
  <c r="B44" i="102"/>
  <c r="T43" i="102"/>
  <c r="I43" i="102"/>
  <c r="S42" i="102"/>
  <c r="R42" i="102"/>
  <c r="Q42" i="102"/>
  <c r="H42" i="102"/>
  <c r="G42" i="102"/>
  <c r="F42" i="102"/>
  <c r="E42" i="102"/>
  <c r="D42" i="102"/>
  <c r="C42" i="102"/>
  <c r="B42" i="102"/>
  <c r="S41" i="102"/>
  <c r="R41" i="102"/>
  <c r="Q41" i="102"/>
  <c r="H41" i="102"/>
  <c r="G41" i="102"/>
  <c r="F41" i="102"/>
  <c r="E41" i="102"/>
  <c r="D41" i="102"/>
  <c r="C41" i="102"/>
  <c r="B41" i="102"/>
  <c r="T40" i="102"/>
  <c r="I40" i="102"/>
  <c r="T39" i="102"/>
  <c r="I39" i="102"/>
  <c r="W29" i="102"/>
  <c r="V29" i="102"/>
  <c r="U29" i="102"/>
  <c r="T29" i="102"/>
  <c r="S29" i="102"/>
  <c r="R29" i="102"/>
  <c r="Q29" i="102"/>
  <c r="P29" i="102"/>
  <c r="O29" i="102"/>
  <c r="N29" i="102"/>
  <c r="M29" i="102"/>
  <c r="L29" i="102"/>
  <c r="K29" i="102"/>
  <c r="J29" i="102"/>
  <c r="I29" i="102"/>
  <c r="H29" i="102"/>
  <c r="G29" i="102"/>
  <c r="F29" i="102"/>
  <c r="E29" i="102"/>
  <c r="D29" i="102"/>
  <c r="C29" i="102"/>
  <c r="B29" i="102"/>
  <c r="W28" i="102"/>
  <c r="V28" i="102"/>
  <c r="U28" i="102"/>
  <c r="T28" i="102"/>
  <c r="S28" i="102"/>
  <c r="R28" i="102"/>
  <c r="Q28" i="102"/>
  <c r="P28" i="102"/>
  <c r="O28" i="102"/>
  <c r="N28" i="102"/>
  <c r="M28" i="102"/>
  <c r="L28" i="102"/>
  <c r="K28" i="102"/>
  <c r="J28" i="102"/>
  <c r="I28" i="102"/>
  <c r="H28" i="102"/>
  <c r="G28" i="102"/>
  <c r="F28" i="102"/>
  <c r="E28" i="102"/>
  <c r="D28" i="102"/>
  <c r="C28" i="102"/>
  <c r="B28" i="102"/>
  <c r="Y27" i="102"/>
  <c r="W24" i="102"/>
  <c r="V24" i="102"/>
  <c r="U24" i="102"/>
  <c r="T24" i="102"/>
  <c r="S24" i="102"/>
  <c r="R24" i="102"/>
  <c r="Q24" i="102"/>
  <c r="P24" i="102"/>
  <c r="O24" i="102"/>
  <c r="N24" i="102"/>
  <c r="M24" i="102"/>
  <c r="L24" i="102"/>
  <c r="K24" i="102"/>
  <c r="J24" i="102"/>
  <c r="I24" i="102"/>
  <c r="H24" i="102"/>
  <c r="G24" i="102"/>
  <c r="F24" i="102"/>
  <c r="E24" i="102"/>
  <c r="D24" i="102"/>
  <c r="C24" i="102"/>
  <c r="B24" i="102"/>
  <c r="W23" i="102"/>
  <c r="V23" i="102"/>
  <c r="U23" i="102"/>
  <c r="T23" i="102"/>
  <c r="S23" i="102"/>
  <c r="R23" i="102"/>
  <c r="Q23" i="102"/>
  <c r="P23" i="102"/>
  <c r="O23" i="102"/>
  <c r="N23" i="102"/>
  <c r="M23" i="102"/>
  <c r="L23" i="102"/>
  <c r="K23" i="102"/>
  <c r="J23" i="102"/>
  <c r="I23" i="102"/>
  <c r="H23" i="102"/>
  <c r="G23" i="102"/>
  <c r="F23" i="102"/>
  <c r="E23" i="102"/>
  <c r="D23" i="102"/>
  <c r="C23" i="102"/>
  <c r="B23" i="102"/>
  <c r="Y22" i="102"/>
  <c r="W21" i="102"/>
  <c r="V21" i="102"/>
  <c r="U21" i="102"/>
  <c r="T21" i="102"/>
  <c r="S21" i="102"/>
  <c r="R21" i="102"/>
  <c r="Q21" i="102"/>
  <c r="P21" i="102"/>
  <c r="O21" i="102"/>
  <c r="N21" i="102"/>
  <c r="M21" i="102"/>
  <c r="L21" i="102"/>
  <c r="K21" i="102"/>
  <c r="J21" i="102"/>
  <c r="I21" i="102"/>
  <c r="H21" i="102"/>
  <c r="G21" i="102"/>
  <c r="F21" i="102"/>
  <c r="E21" i="102"/>
  <c r="D21" i="102"/>
  <c r="C21" i="102"/>
  <c r="B21" i="102"/>
  <c r="W20" i="102"/>
  <c r="V20" i="102"/>
  <c r="U20" i="102"/>
  <c r="T20" i="102"/>
  <c r="S20" i="102"/>
  <c r="R20" i="102"/>
  <c r="Q20" i="102"/>
  <c r="P20" i="102"/>
  <c r="O20" i="102"/>
  <c r="N20" i="102"/>
  <c r="M20" i="102"/>
  <c r="L20" i="102"/>
  <c r="K20" i="102"/>
  <c r="J20" i="102"/>
  <c r="I20" i="102"/>
  <c r="H20" i="102"/>
  <c r="G20" i="102"/>
  <c r="F20" i="102"/>
  <c r="E20" i="102"/>
  <c r="D20" i="102"/>
  <c r="C20" i="102"/>
  <c r="B20" i="102"/>
  <c r="Y19" i="102"/>
  <c r="Y18" i="102"/>
  <c r="F61" i="101"/>
  <c r="F63" i="101"/>
  <c r="F64" i="101"/>
  <c r="F60" i="101"/>
  <c r="E61" i="101"/>
  <c r="E63" i="101"/>
  <c r="E64" i="101"/>
  <c r="E60" i="101"/>
  <c r="D61" i="101"/>
  <c r="D63" i="101"/>
  <c r="D64" i="101"/>
  <c r="D60" i="101"/>
  <c r="C61" i="101"/>
  <c r="C63" i="101"/>
  <c r="C64" i="101"/>
  <c r="C60" i="101"/>
  <c r="B61" i="101"/>
  <c r="B63" i="101"/>
  <c r="B64" i="101"/>
  <c r="B60" i="101"/>
  <c r="S42" i="101"/>
  <c r="S44" i="101"/>
  <c r="S45" i="101"/>
  <c r="S41" i="101"/>
  <c r="R42" i="101"/>
  <c r="R44" i="101"/>
  <c r="R45" i="101"/>
  <c r="R41" i="101"/>
  <c r="Q42" i="101"/>
  <c r="Q44" i="101"/>
  <c r="Q45" i="101"/>
  <c r="Q41" i="101"/>
  <c r="H42" i="101"/>
  <c r="H44" i="101"/>
  <c r="H41" i="101"/>
  <c r="G42" i="101"/>
  <c r="G41" i="101"/>
  <c r="F42" i="101"/>
  <c r="F44" i="101"/>
  <c r="F41" i="101"/>
  <c r="E42" i="101"/>
  <c r="E44" i="101"/>
  <c r="E41" i="101"/>
  <c r="D42" i="101"/>
  <c r="D44" i="101"/>
  <c r="D41" i="101"/>
  <c r="C42" i="101"/>
  <c r="C44" i="101"/>
  <c r="C41" i="101"/>
  <c r="B42" i="101"/>
  <c r="B44" i="101"/>
  <c r="B41" i="101"/>
  <c r="W21" i="101"/>
  <c r="W23" i="101"/>
  <c r="W24" i="101"/>
  <c r="W20" i="101"/>
  <c r="V21" i="101"/>
  <c r="V23" i="101"/>
  <c r="V24" i="101"/>
  <c r="V20" i="101"/>
  <c r="U21" i="101"/>
  <c r="U23" i="101"/>
  <c r="U24" i="101"/>
  <c r="U20" i="101"/>
  <c r="T21" i="101"/>
  <c r="T23" i="101"/>
  <c r="T24" i="101"/>
  <c r="T20" i="101"/>
  <c r="S21" i="101"/>
  <c r="S23" i="101"/>
  <c r="S24" i="101"/>
  <c r="S20" i="101"/>
  <c r="R21" i="101"/>
  <c r="R23" i="101"/>
  <c r="R24" i="101"/>
  <c r="R20" i="101"/>
  <c r="Q21" i="101"/>
  <c r="Q23" i="101"/>
  <c r="Q24" i="101"/>
  <c r="Q20" i="101"/>
  <c r="P21" i="101"/>
  <c r="P23" i="101"/>
  <c r="P24" i="101"/>
  <c r="P20" i="101"/>
  <c r="O21" i="101"/>
  <c r="O23" i="101"/>
  <c r="O24" i="101"/>
  <c r="G63" i="102" l="1"/>
  <c r="C46" i="101"/>
  <c r="T45" i="102"/>
  <c r="Q46" i="102"/>
  <c r="Q51" i="102" s="1"/>
  <c r="D65" i="102"/>
  <c r="D70" i="102" s="1"/>
  <c r="H46" i="102"/>
  <c r="H51" i="102" s="1"/>
  <c r="C65" i="102"/>
  <c r="C70" i="102" s="1"/>
  <c r="E65" i="102"/>
  <c r="E70" i="102" s="1"/>
  <c r="F65" i="102"/>
  <c r="F70" i="102" s="1"/>
  <c r="T42" i="102"/>
  <c r="T44" i="102"/>
  <c r="R46" i="102"/>
  <c r="R51" i="102" s="1"/>
  <c r="D46" i="102"/>
  <c r="D51" i="102" s="1"/>
  <c r="I44" i="102"/>
  <c r="S25" i="102"/>
  <c r="S30" i="102" s="1"/>
  <c r="I25" i="102"/>
  <c r="I30" i="102" s="1"/>
  <c r="G60" i="102"/>
  <c r="G61" i="102"/>
  <c r="G64" i="102"/>
  <c r="T41" i="102"/>
  <c r="B46" i="102"/>
  <c r="B51" i="102" s="1"/>
  <c r="C46" i="102"/>
  <c r="C51" i="102" s="1"/>
  <c r="I45" i="102"/>
  <c r="I41" i="102"/>
  <c r="F46" i="102"/>
  <c r="F51" i="102" s="1"/>
  <c r="G46" i="102"/>
  <c r="G51" i="102" s="1"/>
  <c r="Q25" i="102"/>
  <c r="Q30" i="102" s="1"/>
  <c r="T25" i="102"/>
  <c r="T30" i="102" s="1"/>
  <c r="P25" i="102"/>
  <c r="P30" i="102" s="1"/>
  <c r="C25" i="102"/>
  <c r="C30" i="102" s="1"/>
  <c r="L25" i="102"/>
  <c r="L30" i="102" s="1"/>
  <c r="D25" i="102"/>
  <c r="D30" i="102" s="1"/>
  <c r="K25" i="102"/>
  <c r="K30" i="102" s="1"/>
  <c r="H25" i="102"/>
  <c r="H30" i="102" s="1"/>
  <c r="Y23" i="102"/>
  <c r="E25" i="102"/>
  <c r="E30" i="102" s="1"/>
  <c r="M25" i="102"/>
  <c r="M30" i="102" s="1"/>
  <c r="U25" i="102"/>
  <c r="U30" i="102" s="1"/>
  <c r="F25" i="102"/>
  <c r="F30" i="102" s="1"/>
  <c r="N25" i="102"/>
  <c r="N30" i="102" s="1"/>
  <c r="V25" i="102"/>
  <c r="V30" i="102" s="1"/>
  <c r="G25" i="102"/>
  <c r="G30" i="102" s="1"/>
  <c r="O25" i="102"/>
  <c r="O30" i="102" s="1"/>
  <c r="W25" i="102"/>
  <c r="W30" i="102" s="1"/>
  <c r="Y24" i="102"/>
  <c r="Y21" i="102"/>
  <c r="Y20" i="102"/>
  <c r="J25" i="102"/>
  <c r="J30" i="102" s="1"/>
  <c r="R25" i="102"/>
  <c r="R30" i="102" s="1"/>
  <c r="S46" i="102"/>
  <c r="S51" i="102" s="1"/>
  <c r="E46" i="102"/>
  <c r="E51" i="102" s="1"/>
  <c r="B65" i="102"/>
  <c r="B25" i="102"/>
  <c r="B30" i="102" s="1"/>
  <c r="I42" i="102"/>
  <c r="T46" i="102" l="1"/>
  <c r="T47" i="102" s="1"/>
  <c r="Y25" i="102"/>
  <c r="Y28" i="102" s="1"/>
  <c r="G65" i="102"/>
  <c r="B70" i="102"/>
  <c r="I46" i="102"/>
  <c r="T49" i="102" l="1"/>
  <c r="Y26" i="102"/>
  <c r="G66" i="102"/>
  <c r="G68" i="102"/>
  <c r="I47" i="102"/>
  <c r="I49" i="102"/>
  <c r="O20" i="101" l="1"/>
  <c r="N21" i="101"/>
  <c r="N23" i="101"/>
  <c r="N24" i="101"/>
  <c r="N20" i="101"/>
  <c r="M21" i="101"/>
  <c r="M23" i="101"/>
  <c r="M24" i="101"/>
  <c r="M20" i="101"/>
  <c r="L21" i="101"/>
  <c r="L23" i="101"/>
  <c r="L24" i="101"/>
  <c r="L20" i="101"/>
  <c r="K21" i="101"/>
  <c r="K23" i="101"/>
  <c r="K24" i="101"/>
  <c r="K20" i="101"/>
  <c r="J21" i="101"/>
  <c r="J23" i="101"/>
  <c r="J24" i="101"/>
  <c r="J20" i="101"/>
  <c r="I21" i="101"/>
  <c r="I23" i="101"/>
  <c r="I24" i="101"/>
  <c r="I20" i="101"/>
  <c r="H21" i="101"/>
  <c r="H23" i="101"/>
  <c r="H24" i="101"/>
  <c r="H20" i="101"/>
  <c r="G21" i="101"/>
  <c r="G23" i="101"/>
  <c r="G24" i="101"/>
  <c r="G20" i="101"/>
  <c r="F21" i="101"/>
  <c r="F23" i="101"/>
  <c r="F24" i="101"/>
  <c r="F20" i="101"/>
  <c r="E21" i="101"/>
  <c r="E23" i="101"/>
  <c r="E24" i="101"/>
  <c r="E20" i="101"/>
  <c r="D21" i="101"/>
  <c r="D23" i="101"/>
  <c r="D24" i="101"/>
  <c r="D20" i="101"/>
  <c r="C21" i="101"/>
  <c r="C23" i="101"/>
  <c r="C24" i="101"/>
  <c r="C20" i="101"/>
  <c r="B21" i="101"/>
  <c r="B23" i="101"/>
  <c r="B24" i="101"/>
  <c r="B20" i="101"/>
  <c r="F69" i="101" l="1"/>
  <c r="E69" i="101"/>
  <c r="D69" i="101"/>
  <c r="C69" i="101"/>
  <c r="B69" i="101"/>
  <c r="F68" i="101"/>
  <c r="E68" i="101"/>
  <c r="D68" i="101"/>
  <c r="C68" i="101"/>
  <c r="B68" i="101"/>
  <c r="G67" i="101"/>
  <c r="G62" i="101"/>
  <c r="G60" i="101"/>
  <c r="G59" i="101"/>
  <c r="G58" i="101"/>
  <c r="S50" i="101"/>
  <c r="R50" i="101"/>
  <c r="Q50" i="101"/>
  <c r="H50" i="101"/>
  <c r="G50" i="101"/>
  <c r="F50" i="101"/>
  <c r="E50" i="101"/>
  <c r="D50" i="101"/>
  <c r="C50" i="101"/>
  <c r="B50" i="101"/>
  <c r="S49" i="101"/>
  <c r="R49" i="101"/>
  <c r="Q49" i="101"/>
  <c r="H49" i="101"/>
  <c r="G49" i="101"/>
  <c r="F49" i="101"/>
  <c r="E49" i="101"/>
  <c r="D49" i="101"/>
  <c r="C49" i="101"/>
  <c r="B49" i="101"/>
  <c r="T48" i="101"/>
  <c r="I48" i="101"/>
  <c r="T43" i="101"/>
  <c r="I43" i="101"/>
  <c r="T41" i="101"/>
  <c r="I41" i="101"/>
  <c r="T40" i="101"/>
  <c r="I40" i="101"/>
  <c r="T39" i="101"/>
  <c r="I39" i="101"/>
  <c r="W29" i="101"/>
  <c r="V29" i="101"/>
  <c r="U29" i="101"/>
  <c r="T29" i="101"/>
  <c r="S29" i="101"/>
  <c r="R29" i="101"/>
  <c r="Q29" i="101"/>
  <c r="P29" i="101"/>
  <c r="O29" i="101"/>
  <c r="N29" i="101"/>
  <c r="M29" i="101"/>
  <c r="L29" i="101"/>
  <c r="K29" i="101"/>
  <c r="J29" i="101"/>
  <c r="I29" i="101"/>
  <c r="H29" i="101"/>
  <c r="G29" i="101"/>
  <c r="F29" i="101"/>
  <c r="E29" i="101"/>
  <c r="D29" i="101"/>
  <c r="C29" i="101"/>
  <c r="B29" i="101"/>
  <c r="W28" i="101"/>
  <c r="V28" i="101"/>
  <c r="U28" i="101"/>
  <c r="T28" i="101"/>
  <c r="S28" i="101"/>
  <c r="R28" i="101"/>
  <c r="Q28" i="101"/>
  <c r="P28" i="101"/>
  <c r="O28" i="101"/>
  <c r="N28" i="101"/>
  <c r="M28" i="101"/>
  <c r="L28" i="101"/>
  <c r="K28" i="101"/>
  <c r="J28" i="101"/>
  <c r="I28" i="101"/>
  <c r="H28" i="101"/>
  <c r="G28" i="101"/>
  <c r="F28" i="101"/>
  <c r="E28" i="101"/>
  <c r="D28" i="101"/>
  <c r="C28" i="101"/>
  <c r="B28" i="101"/>
  <c r="Y27" i="101"/>
  <c r="K25" i="101"/>
  <c r="K30" i="101" s="1"/>
  <c r="Y22" i="101"/>
  <c r="V25" i="101"/>
  <c r="V30" i="101" s="1"/>
  <c r="D25" i="101"/>
  <c r="D30" i="101" s="1"/>
  <c r="U25" i="101"/>
  <c r="U30" i="101" s="1"/>
  <c r="T25" i="101"/>
  <c r="T30" i="101" s="1"/>
  <c r="E25" i="101"/>
  <c r="E30" i="101" s="1"/>
  <c r="Y20" i="101"/>
  <c r="Y19" i="101"/>
  <c r="Y18" i="101"/>
  <c r="T42" i="101" l="1"/>
  <c r="C51" i="101"/>
  <c r="E65" i="101"/>
  <c r="E70" i="101" s="1"/>
  <c r="F65" i="101"/>
  <c r="F70" i="101" s="1"/>
  <c r="Q25" i="101"/>
  <c r="Q30" i="101" s="1"/>
  <c r="C25" i="101"/>
  <c r="C30" i="101" s="1"/>
  <c r="L25" i="101"/>
  <c r="L30" i="101" s="1"/>
  <c r="G25" i="101"/>
  <c r="G30" i="101" s="1"/>
  <c r="W25" i="101"/>
  <c r="W30" i="101" s="1"/>
  <c r="N25" i="101"/>
  <c r="N30" i="101" s="1"/>
  <c r="C65" i="101"/>
  <c r="C70" i="101" s="1"/>
  <c r="R46" i="101"/>
  <c r="R51" i="101" s="1"/>
  <c r="H46" i="101"/>
  <c r="H51" i="101" s="1"/>
  <c r="R25" i="101"/>
  <c r="R30" i="101" s="1"/>
  <c r="H25" i="101"/>
  <c r="H30" i="101" s="1"/>
  <c r="J25" i="101"/>
  <c r="J30" i="101" s="1"/>
  <c r="S25" i="101"/>
  <c r="S30" i="101" s="1"/>
  <c r="F25" i="101"/>
  <c r="F30" i="101" s="1"/>
  <c r="G61" i="101"/>
  <c r="F46" i="101"/>
  <c r="F51" i="101" s="1"/>
  <c r="I42" i="101"/>
  <c r="B46" i="101"/>
  <c r="B51" i="101" s="1"/>
  <c r="G46" i="101"/>
  <c r="G51" i="101" s="1"/>
  <c r="Y21" i="101"/>
  <c r="B25" i="101"/>
  <c r="B30" i="101" s="1"/>
  <c r="E61" i="100"/>
  <c r="E63" i="100"/>
  <c r="E64" i="100"/>
  <c r="E60" i="100"/>
  <c r="D61" i="100"/>
  <c r="D63" i="100"/>
  <c r="D64" i="100"/>
  <c r="D60" i="100"/>
  <c r="B61" i="100"/>
  <c r="B63" i="100"/>
  <c r="B64" i="100"/>
  <c r="B60" i="100"/>
  <c r="F61" i="100"/>
  <c r="F63" i="100"/>
  <c r="F64" i="100"/>
  <c r="F60" i="100"/>
  <c r="C61" i="100"/>
  <c r="C63" i="100"/>
  <c r="C64" i="100"/>
  <c r="C60" i="100"/>
  <c r="S42" i="100" l="1"/>
  <c r="S44" i="100"/>
  <c r="S45" i="100"/>
  <c r="S41" i="100"/>
  <c r="R42" i="100"/>
  <c r="R44" i="100"/>
  <c r="R45" i="100"/>
  <c r="R41" i="100"/>
  <c r="Q42" i="100"/>
  <c r="Q44" i="100"/>
  <c r="Q45" i="100"/>
  <c r="Q41" i="100"/>
  <c r="H42" i="100"/>
  <c r="H44" i="100"/>
  <c r="H45" i="100"/>
  <c r="H41" i="100"/>
  <c r="G42" i="100"/>
  <c r="G44" i="100"/>
  <c r="G45" i="100"/>
  <c r="G41" i="100"/>
  <c r="F42" i="100"/>
  <c r="F44" i="100"/>
  <c r="F45" i="100"/>
  <c r="F41" i="100"/>
  <c r="E42" i="100"/>
  <c r="E44" i="100"/>
  <c r="E45" i="100"/>
  <c r="E41" i="100"/>
  <c r="D42" i="100"/>
  <c r="D44" i="100"/>
  <c r="D45" i="100"/>
  <c r="D41" i="100"/>
  <c r="C42" i="100"/>
  <c r="C44" i="100"/>
  <c r="C45" i="100"/>
  <c r="C41" i="100"/>
  <c r="B42" i="100"/>
  <c r="B44" i="100"/>
  <c r="B45" i="100"/>
  <c r="B41" i="100"/>
  <c r="W21" i="100"/>
  <c r="W23" i="100"/>
  <c r="W24" i="100"/>
  <c r="W20" i="100"/>
  <c r="V21" i="100"/>
  <c r="V23" i="100"/>
  <c r="V24" i="100"/>
  <c r="V20" i="100"/>
  <c r="U21" i="100"/>
  <c r="U23" i="100"/>
  <c r="U24" i="100"/>
  <c r="U20" i="100"/>
  <c r="T21" i="100"/>
  <c r="T23" i="100"/>
  <c r="T24" i="100"/>
  <c r="T20" i="100"/>
  <c r="S21" i="100" l="1"/>
  <c r="S23" i="100"/>
  <c r="S24" i="100"/>
  <c r="S20" i="100"/>
  <c r="R21" i="100"/>
  <c r="R23" i="100"/>
  <c r="R24" i="100"/>
  <c r="R20" i="100"/>
  <c r="Q21" i="100"/>
  <c r="Q23" i="100"/>
  <c r="Q24" i="100"/>
  <c r="Q20" i="100"/>
  <c r="P21" i="100"/>
  <c r="P23" i="100"/>
  <c r="P24" i="100"/>
  <c r="P20" i="100"/>
  <c r="O21" i="100"/>
  <c r="O23" i="100"/>
  <c r="O24" i="100"/>
  <c r="O20" i="100"/>
  <c r="N21" i="100"/>
  <c r="N23" i="100"/>
  <c r="N24" i="100"/>
  <c r="N20" i="100"/>
  <c r="M21" i="100"/>
  <c r="M23" i="100"/>
  <c r="M24" i="100"/>
  <c r="M20" i="100"/>
  <c r="L21" i="100"/>
  <c r="L23" i="100"/>
  <c r="L24" i="100"/>
  <c r="L20" i="100"/>
  <c r="K21" i="100"/>
  <c r="K23" i="100"/>
  <c r="K24" i="100"/>
  <c r="K20" i="100"/>
  <c r="J21" i="100"/>
  <c r="J23" i="100"/>
  <c r="J24" i="100"/>
  <c r="J20" i="100"/>
  <c r="I21" i="100"/>
  <c r="I23" i="100"/>
  <c r="I24" i="100"/>
  <c r="I20" i="100"/>
  <c r="H21" i="100"/>
  <c r="H23" i="100"/>
  <c r="H24" i="100"/>
  <c r="H20" i="100"/>
  <c r="G21" i="100"/>
  <c r="G23" i="100"/>
  <c r="G24" i="100"/>
  <c r="G20" i="100"/>
  <c r="F24" i="100"/>
  <c r="F21" i="100"/>
  <c r="F23" i="100"/>
  <c r="F20" i="100"/>
  <c r="E21" i="100"/>
  <c r="E23" i="100"/>
  <c r="E24" i="100"/>
  <c r="E20" i="100"/>
  <c r="D24" i="100"/>
  <c r="D21" i="100"/>
  <c r="D23" i="100"/>
  <c r="D20" i="100"/>
  <c r="C21" i="100"/>
  <c r="C23" i="100"/>
  <c r="C24" i="100"/>
  <c r="C20" i="100"/>
  <c r="B21" i="100"/>
  <c r="B23" i="100"/>
  <c r="B24" i="100"/>
  <c r="B20" i="100"/>
  <c r="F69" i="100" l="1"/>
  <c r="E69" i="100"/>
  <c r="D69" i="100"/>
  <c r="C69" i="100"/>
  <c r="B69" i="100"/>
  <c r="F68" i="100"/>
  <c r="E68" i="100"/>
  <c r="D68" i="100"/>
  <c r="C68" i="100"/>
  <c r="B68" i="100"/>
  <c r="G67" i="100"/>
  <c r="G62" i="100"/>
  <c r="D65" i="100"/>
  <c r="D70" i="100" s="1"/>
  <c r="G60" i="100"/>
  <c r="G59" i="100"/>
  <c r="G58" i="100"/>
  <c r="S50" i="100"/>
  <c r="R50" i="100"/>
  <c r="Q50" i="100"/>
  <c r="H50" i="100"/>
  <c r="G50" i="100"/>
  <c r="F50" i="100"/>
  <c r="E50" i="100"/>
  <c r="D50" i="100"/>
  <c r="C50" i="100"/>
  <c r="B50" i="100"/>
  <c r="S49" i="100"/>
  <c r="R49" i="100"/>
  <c r="Q49" i="100"/>
  <c r="H49" i="100"/>
  <c r="G49" i="100"/>
  <c r="F49" i="100"/>
  <c r="E49" i="100"/>
  <c r="D49" i="100"/>
  <c r="C49" i="100"/>
  <c r="B49" i="100"/>
  <c r="T48" i="100"/>
  <c r="I48" i="100"/>
  <c r="S46" i="100"/>
  <c r="S51" i="100" s="1"/>
  <c r="T43" i="100"/>
  <c r="I43" i="100"/>
  <c r="D46" i="100"/>
  <c r="D51" i="100" s="1"/>
  <c r="B46" i="100"/>
  <c r="T41" i="100"/>
  <c r="I41" i="100"/>
  <c r="T40" i="100"/>
  <c r="I40" i="100"/>
  <c r="T39" i="100"/>
  <c r="I39" i="100"/>
  <c r="W29" i="100"/>
  <c r="V29" i="100"/>
  <c r="U29" i="100"/>
  <c r="T29" i="100"/>
  <c r="S29" i="100"/>
  <c r="R29" i="100"/>
  <c r="Q29" i="100"/>
  <c r="P29" i="100"/>
  <c r="O29" i="100"/>
  <c r="N29" i="100"/>
  <c r="M29" i="100"/>
  <c r="L29" i="100"/>
  <c r="K29" i="100"/>
  <c r="J29" i="100"/>
  <c r="I29" i="100"/>
  <c r="H29" i="100"/>
  <c r="G29" i="100"/>
  <c r="F29" i="100"/>
  <c r="E29" i="100"/>
  <c r="D29" i="100"/>
  <c r="C29" i="100"/>
  <c r="B29" i="100"/>
  <c r="W28" i="100"/>
  <c r="V28" i="100"/>
  <c r="U28" i="100"/>
  <c r="T28" i="100"/>
  <c r="S28" i="100"/>
  <c r="R28" i="100"/>
  <c r="Q28" i="100"/>
  <c r="P28" i="100"/>
  <c r="O28" i="100"/>
  <c r="N28" i="100"/>
  <c r="M28" i="100"/>
  <c r="L28" i="100"/>
  <c r="K28" i="100"/>
  <c r="J28" i="100"/>
  <c r="I28" i="100"/>
  <c r="H28" i="100"/>
  <c r="G28" i="100"/>
  <c r="F28" i="100"/>
  <c r="E28" i="100"/>
  <c r="D28" i="100"/>
  <c r="C28" i="100"/>
  <c r="B28" i="100"/>
  <c r="Y27" i="100"/>
  <c r="K25" i="100"/>
  <c r="K30" i="100" s="1"/>
  <c r="H25" i="100"/>
  <c r="H30" i="100" s="1"/>
  <c r="J25" i="100"/>
  <c r="J30" i="100" s="1"/>
  <c r="B25" i="100"/>
  <c r="B30" i="100" s="1"/>
  <c r="Y22" i="100"/>
  <c r="W25" i="100"/>
  <c r="W30" i="100" s="1"/>
  <c r="V25" i="100"/>
  <c r="V30" i="100" s="1"/>
  <c r="U25" i="100"/>
  <c r="U30" i="100" s="1"/>
  <c r="Q25" i="100"/>
  <c r="Q30" i="100" s="1"/>
  <c r="P25" i="100"/>
  <c r="P30" i="100" s="1"/>
  <c r="L25" i="100"/>
  <c r="L30" i="100" s="1"/>
  <c r="I25" i="100"/>
  <c r="I30" i="100" s="1"/>
  <c r="D25" i="100"/>
  <c r="D30" i="100" s="1"/>
  <c r="C25" i="100"/>
  <c r="C30" i="100" s="1"/>
  <c r="Y20" i="100"/>
  <c r="Y19" i="100"/>
  <c r="Y18" i="100"/>
  <c r="F65" i="100" l="1"/>
  <c r="F70" i="100" s="1"/>
  <c r="G61" i="100"/>
  <c r="E65" i="100"/>
  <c r="E70" i="100" s="1"/>
  <c r="T42" i="100"/>
  <c r="G46" i="100"/>
  <c r="G51" i="100" s="1"/>
  <c r="F46" i="100"/>
  <c r="F51" i="100" s="1"/>
  <c r="C46" i="100"/>
  <c r="C51" i="100" s="1"/>
  <c r="T25" i="100"/>
  <c r="T30" i="100" s="1"/>
  <c r="S25" i="100"/>
  <c r="S30" i="100" s="1"/>
  <c r="R25" i="100"/>
  <c r="R30" i="100" s="1"/>
  <c r="M25" i="100"/>
  <c r="M30" i="100" s="1"/>
  <c r="Y21" i="100"/>
  <c r="B51" i="100"/>
  <c r="B65" i="100"/>
  <c r="Q46" i="100"/>
  <c r="I42" i="100"/>
  <c r="F25" i="100"/>
  <c r="F30" i="100" s="1"/>
  <c r="F62" i="99"/>
  <c r="F63" i="99"/>
  <c r="F64" i="99"/>
  <c r="F61" i="99"/>
  <c r="D69" i="99"/>
  <c r="E69" i="99"/>
  <c r="F69" i="99"/>
  <c r="F68" i="99"/>
  <c r="E68" i="99"/>
  <c r="D68" i="99"/>
  <c r="E62" i="99"/>
  <c r="E63" i="99"/>
  <c r="E64" i="99"/>
  <c r="E61" i="99"/>
  <c r="D62" i="99"/>
  <c r="D63" i="99"/>
  <c r="D64" i="99"/>
  <c r="D61" i="99"/>
  <c r="C62" i="99"/>
  <c r="C63" i="99"/>
  <c r="C64" i="99"/>
  <c r="C61" i="99"/>
  <c r="B62" i="99"/>
  <c r="B63" i="99"/>
  <c r="B64" i="99"/>
  <c r="B61" i="99"/>
  <c r="S43" i="99"/>
  <c r="S44" i="99"/>
  <c r="S45" i="99"/>
  <c r="S42" i="99"/>
  <c r="R43" i="99"/>
  <c r="R44" i="99"/>
  <c r="R45" i="99"/>
  <c r="R42" i="99"/>
  <c r="Q43" i="99"/>
  <c r="Q44" i="99"/>
  <c r="Q45" i="99"/>
  <c r="Q42" i="99"/>
  <c r="I43" i="99"/>
  <c r="H44" i="99"/>
  <c r="H45" i="99"/>
  <c r="H42" i="99"/>
  <c r="G44" i="99"/>
  <c r="G45" i="99"/>
  <c r="G42" i="99"/>
  <c r="F44" i="99"/>
  <c r="F45" i="99"/>
  <c r="F42" i="99"/>
  <c r="E44" i="99"/>
  <c r="E45" i="99"/>
  <c r="E42" i="99"/>
  <c r="D44" i="99"/>
  <c r="D45" i="99"/>
  <c r="D42" i="99"/>
  <c r="C44" i="99"/>
  <c r="C45" i="99"/>
  <c r="C42" i="99"/>
  <c r="B44" i="99"/>
  <c r="B45" i="99"/>
  <c r="B42" i="99"/>
  <c r="W23" i="99"/>
  <c r="W24" i="99"/>
  <c r="W21" i="99"/>
  <c r="V23" i="99"/>
  <c r="V24" i="99"/>
  <c r="V21" i="99"/>
  <c r="U23" i="99"/>
  <c r="U24" i="99"/>
  <c r="U21" i="99"/>
  <c r="T23" i="99"/>
  <c r="T24" i="99"/>
  <c r="T21" i="99"/>
  <c r="S23" i="99"/>
  <c r="S24" i="99"/>
  <c r="S21" i="99"/>
  <c r="R23" i="99"/>
  <c r="R24" i="99"/>
  <c r="R21" i="99"/>
  <c r="Q23" i="99"/>
  <c r="Q24" i="99"/>
  <c r="Q21" i="99"/>
  <c r="P23" i="99"/>
  <c r="P24" i="99"/>
  <c r="P21" i="99"/>
  <c r="O23" i="99"/>
  <c r="O24" i="99"/>
  <c r="O21" i="99"/>
  <c r="N23" i="99"/>
  <c r="N24" i="99"/>
  <c r="N21" i="99"/>
  <c r="M23" i="99"/>
  <c r="M24" i="99"/>
  <c r="M21" i="99"/>
  <c r="L23" i="99"/>
  <c r="L24" i="99"/>
  <c r="L21" i="99"/>
  <c r="K23" i="99"/>
  <c r="K24" i="99"/>
  <c r="K21" i="99"/>
  <c r="J24" i="99"/>
  <c r="J23" i="99"/>
  <c r="J21" i="99"/>
  <c r="I24" i="99"/>
  <c r="I23" i="99"/>
  <c r="I21" i="99"/>
  <c r="H23" i="99"/>
  <c r="H24" i="99"/>
  <c r="H21" i="99"/>
  <c r="G23" i="99"/>
  <c r="G24" i="99"/>
  <c r="G21" i="99"/>
  <c r="F23" i="99"/>
  <c r="F24" i="99"/>
  <c r="F21" i="99"/>
  <c r="E23" i="99"/>
  <c r="E24" i="99"/>
  <c r="E21" i="99"/>
  <c r="D23" i="99"/>
  <c r="D24" i="99"/>
  <c r="D21" i="99"/>
  <c r="C21" i="99"/>
  <c r="C23" i="99"/>
  <c r="C24" i="99"/>
  <c r="B23" i="99"/>
  <c r="B24" i="99"/>
  <c r="B21" i="99"/>
  <c r="T48" i="99"/>
  <c r="T41" i="99"/>
  <c r="T40" i="99"/>
  <c r="T39" i="99"/>
  <c r="C69" i="99"/>
  <c r="B69" i="99"/>
  <c r="C68" i="99"/>
  <c r="B68" i="99"/>
  <c r="G67" i="99"/>
  <c r="G59" i="99"/>
  <c r="G58" i="99"/>
  <c r="S50" i="99"/>
  <c r="R50" i="99"/>
  <c r="Q50" i="99"/>
  <c r="H50" i="99"/>
  <c r="G50" i="99"/>
  <c r="F50" i="99"/>
  <c r="E50" i="99"/>
  <c r="D50" i="99"/>
  <c r="C50" i="99"/>
  <c r="B50" i="99"/>
  <c r="S49" i="99"/>
  <c r="R49" i="99"/>
  <c r="Q49" i="99"/>
  <c r="H49" i="99"/>
  <c r="G49" i="99"/>
  <c r="F49" i="99"/>
  <c r="E49" i="99"/>
  <c r="D49" i="99"/>
  <c r="C49" i="99"/>
  <c r="B49" i="99"/>
  <c r="I48" i="99"/>
  <c r="I40" i="99"/>
  <c r="I39" i="99"/>
  <c r="W29" i="99"/>
  <c r="V29" i="99"/>
  <c r="U29" i="99"/>
  <c r="T29" i="99"/>
  <c r="S29" i="99"/>
  <c r="R29" i="99"/>
  <c r="Q29" i="99"/>
  <c r="P29" i="99"/>
  <c r="O29" i="99"/>
  <c r="N29" i="99"/>
  <c r="M29" i="99"/>
  <c r="L29" i="99"/>
  <c r="K29" i="99"/>
  <c r="J29" i="99"/>
  <c r="I29" i="99"/>
  <c r="H29" i="99"/>
  <c r="G29" i="99"/>
  <c r="F29" i="99"/>
  <c r="E29" i="99"/>
  <c r="D29" i="99"/>
  <c r="C29" i="99"/>
  <c r="B29" i="99"/>
  <c r="W28" i="99"/>
  <c r="V28" i="99"/>
  <c r="U28" i="99"/>
  <c r="T28" i="99"/>
  <c r="S28" i="99"/>
  <c r="R28" i="99"/>
  <c r="Q28" i="99"/>
  <c r="P28" i="99"/>
  <c r="O28" i="99"/>
  <c r="N28" i="99"/>
  <c r="M28" i="99"/>
  <c r="L28" i="99"/>
  <c r="K28" i="99"/>
  <c r="J28" i="99"/>
  <c r="I28" i="99"/>
  <c r="H28" i="99"/>
  <c r="G28" i="99"/>
  <c r="F28" i="99"/>
  <c r="E28" i="99"/>
  <c r="D28" i="99"/>
  <c r="C28" i="99"/>
  <c r="B28" i="99"/>
  <c r="Y27" i="99"/>
  <c r="Y19" i="99"/>
  <c r="Y18" i="99"/>
  <c r="D65" i="99" l="1"/>
  <c r="D70" i="99" s="1"/>
  <c r="S46" i="99"/>
  <c r="S51" i="99" s="1"/>
  <c r="E65" i="99"/>
  <c r="E70" i="99" s="1"/>
  <c r="Q25" i="99"/>
  <c r="Q30" i="99" s="1"/>
  <c r="C25" i="99"/>
  <c r="C30" i="99" s="1"/>
  <c r="S25" i="99"/>
  <c r="S30" i="99" s="1"/>
  <c r="O25" i="99"/>
  <c r="O30" i="99" s="1"/>
  <c r="Q51" i="100"/>
  <c r="B70" i="100"/>
  <c r="G62" i="99"/>
  <c r="U25" i="99"/>
  <c r="U30" i="99" s="1"/>
  <c r="Q46" i="99"/>
  <c r="G61" i="99"/>
  <c r="B65" i="99"/>
  <c r="B70" i="99" s="1"/>
  <c r="T43" i="99"/>
  <c r="T44" i="99"/>
  <c r="T45" i="99"/>
  <c r="T42" i="99"/>
  <c r="G46" i="99"/>
  <c r="G51" i="99" s="1"/>
  <c r="F46" i="99"/>
  <c r="F51" i="99" s="1"/>
  <c r="I44" i="99"/>
  <c r="D46" i="99"/>
  <c r="D51" i="99" s="1"/>
  <c r="W25" i="99"/>
  <c r="W30" i="99" s="1"/>
  <c r="V25" i="99"/>
  <c r="V30" i="99" s="1"/>
  <c r="T25" i="99"/>
  <c r="T30" i="99" s="1"/>
  <c r="R25" i="99"/>
  <c r="R30" i="99" s="1"/>
  <c r="N25" i="99"/>
  <c r="N30" i="99" s="1"/>
  <c r="M25" i="99"/>
  <c r="M30" i="99" s="1"/>
  <c r="L25" i="99"/>
  <c r="L30" i="99" s="1"/>
  <c r="K25" i="99"/>
  <c r="K30" i="99" s="1"/>
  <c r="J25" i="99"/>
  <c r="J30" i="99" s="1"/>
  <c r="I25" i="99"/>
  <c r="I30" i="99" s="1"/>
  <c r="H25" i="99"/>
  <c r="H30" i="99" s="1"/>
  <c r="G25" i="99"/>
  <c r="G30" i="99" s="1"/>
  <c r="F25" i="99"/>
  <c r="F30" i="99" s="1"/>
  <c r="E25" i="99"/>
  <c r="E30" i="99" s="1"/>
  <c r="D25" i="99"/>
  <c r="D30" i="99" s="1"/>
  <c r="B25" i="99"/>
  <c r="B30" i="99" s="1"/>
  <c r="G63" i="99"/>
  <c r="Y21" i="99"/>
  <c r="Y22" i="99"/>
  <c r="Y20" i="99"/>
  <c r="Y23" i="99"/>
  <c r="G60" i="99"/>
  <c r="R46" i="99"/>
  <c r="R51" i="99" s="1"/>
  <c r="I42" i="99"/>
  <c r="E46" i="99"/>
  <c r="E51" i="99" s="1"/>
  <c r="H46" i="99"/>
  <c r="H51" i="99" s="1"/>
  <c r="C46" i="99"/>
  <c r="C51" i="99" s="1"/>
  <c r="B46" i="99"/>
  <c r="B51" i="99" s="1"/>
  <c r="I45" i="99"/>
  <c r="C65" i="99"/>
  <c r="C70" i="99" s="1"/>
  <c r="I41" i="99"/>
  <c r="Q51" i="99" l="1"/>
  <c r="T46" i="99"/>
  <c r="T49" i="99" s="1"/>
  <c r="I46" i="99"/>
  <c r="T47" i="99" l="1"/>
  <c r="I49" i="99"/>
  <c r="I47" i="99"/>
  <c r="B64" i="95" l="1"/>
  <c r="C61" i="95"/>
  <c r="C62" i="95"/>
  <c r="C63" i="95"/>
  <c r="C64" i="95"/>
  <c r="C60" i="95"/>
  <c r="B61" i="95"/>
  <c r="B62" i="95"/>
  <c r="B63" i="95"/>
  <c r="B60" i="95"/>
  <c r="R42" i="95"/>
  <c r="R43" i="95"/>
  <c r="R44" i="95"/>
  <c r="R45" i="95"/>
  <c r="R41" i="95"/>
  <c r="Q42" i="95"/>
  <c r="Q43" i="95"/>
  <c r="Q44" i="95"/>
  <c r="Q45" i="95"/>
  <c r="Q41" i="95"/>
  <c r="G59" i="95"/>
  <c r="H42" i="95"/>
  <c r="H43" i="95"/>
  <c r="H44" i="95"/>
  <c r="H45" i="95"/>
  <c r="H41" i="95"/>
  <c r="G42" i="95"/>
  <c r="G43" i="95"/>
  <c r="G44" i="95"/>
  <c r="G45" i="95"/>
  <c r="G41" i="95"/>
  <c r="F42" i="95"/>
  <c r="F43" i="95"/>
  <c r="F44" i="95"/>
  <c r="F45" i="95"/>
  <c r="F41" i="95"/>
  <c r="E42" i="95"/>
  <c r="E43" i="95"/>
  <c r="E44" i="95"/>
  <c r="E45" i="95"/>
  <c r="E41" i="95"/>
  <c r="D42" i="95"/>
  <c r="D43" i="95"/>
  <c r="D44" i="95"/>
  <c r="D45" i="95"/>
  <c r="D41" i="95"/>
  <c r="C42" i="95"/>
  <c r="C43" i="95"/>
  <c r="C44" i="95"/>
  <c r="C45" i="95"/>
  <c r="C41" i="95"/>
  <c r="B42" i="95"/>
  <c r="B43" i="95"/>
  <c r="B44" i="95"/>
  <c r="B45" i="95"/>
  <c r="B41" i="95"/>
  <c r="W21" i="95"/>
  <c r="W22" i="95"/>
  <c r="W23" i="95"/>
  <c r="W24" i="95"/>
  <c r="W20" i="95"/>
  <c r="V21" i="95"/>
  <c r="V22" i="95"/>
  <c r="V23" i="95"/>
  <c r="V24" i="95"/>
  <c r="V20" i="95"/>
  <c r="U21" i="95"/>
  <c r="U22" i="95"/>
  <c r="U23" i="95"/>
  <c r="U24" i="95"/>
  <c r="U20" i="95"/>
  <c r="T21" i="95"/>
  <c r="T22" i="95"/>
  <c r="T23" i="95"/>
  <c r="T24" i="95"/>
  <c r="T20" i="95"/>
  <c r="S21" i="95"/>
  <c r="S22" i="95"/>
  <c r="S23" i="95"/>
  <c r="S24" i="95"/>
  <c r="S20" i="95"/>
  <c r="R21" i="95"/>
  <c r="R22" i="95"/>
  <c r="R23" i="95"/>
  <c r="R24" i="95"/>
  <c r="R20" i="95"/>
  <c r="Q21" i="95"/>
  <c r="Q22" i="95"/>
  <c r="Q23" i="95"/>
  <c r="Q24" i="95"/>
  <c r="Q20" i="95"/>
  <c r="P21" i="95"/>
  <c r="P22" i="95"/>
  <c r="P23" i="95"/>
  <c r="P24" i="95"/>
  <c r="P20" i="95"/>
  <c r="O21" i="95"/>
  <c r="O22" i="95"/>
  <c r="O23" i="95"/>
  <c r="O24" i="95"/>
  <c r="O20" i="95"/>
  <c r="N21" i="95"/>
  <c r="N22" i="95"/>
  <c r="N23" i="95"/>
  <c r="N24" i="95"/>
  <c r="N20" i="95"/>
  <c r="M21" i="95"/>
  <c r="M22" i="95"/>
  <c r="M23" i="95"/>
  <c r="M24" i="95"/>
  <c r="M20" i="95"/>
  <c r="L21" i="95"/>
  <c r="L22" i="95"/>
  <c r="L23" i="95"/>
  <c r="L24" i="95"/>
  <c r="L20" i="95"/>
  <c r="K21" i="95"/>
  <c r="K22" i="95"/>
  <c r="K23" i="95"/>
  <c r="K24" i="95"/>
  <c r="K20" i="95"/>
  <c r="J21" i="95"/>
  <c r="J22" i="95"/>
  <c r="J23" i="95"/>
  <c r="J24" i="95"/>
  <c r="J20" i="95"/>
  <c r="I21" i="95"/>
  <c r="I22" i="95"/>
  <c r="I23" i="95"/>
  <c r="I24" i="95"/>
  <c r="I20" i="95"/>
  <c r="H21" i="95"/>
  <c r="H22" i="95"/>
  <c r="H23" i="95"/>
  <c r="H24" i="95"/>
  <c r="H20" i="95"/>
  <c r="G21" i="95"/>
  <c r="G22" i="95"/>
  <c r="G23" i="95"/>
  <c r="G24" i="95"/>
  <c r="G20" i="95"/>
  <c r="F21" i="95"/>
  <c r="F22" i="95"/>
  <c r="F23" i="95"/>
  <c r="F24" i="95"/>
  <c r="F20" i="95"/>
  <c r="E21" i="95"/>
  <c r="E22" i="95"/>
  <c r="E23" i="95"/>
  <c r="E20" i="95"/>
  <c r="D21" i="95"/>
  <c r="D22" i="95"/>
  <c r="D23" i="95"/>
  <c r="D24" i="95"/>
  <c r="D20" i="95"/>
  <c r="C21" i="95"/>
  <c r="C22" i="95"/>
  <c r="C23" i="95"/>
  <c r="C24" i="95"/>
  <c r="C20" i="95"/>
  <c r="B29" i="95"/>
  <c r="B20" i="95"/>
  <c r="Y27" i="95"/>
  <c r="B21" i="95"/>
  <c r="B22" i="95"/>
  <c r="B23" i="95"/>
  <c r="B24" i="95"/>
  <c r="C69" i="95"/>
  <c r="B69" i="95"/>
  <c r="C68" i="95"/>
  <c r="B68" i="95"/>
  <c r="G67" i="95"/>
  <c r="U50" i="95"/>
  <c r="T50" i="95"/>
  <c r="S50" i="95"/>
  <c r="R50" i="95"/>
  <c r="Q50" i="95"/>
  <c r="H50" i="95"/>
  <c r="G50" i="95"/>
  <c r="F50" i="95"/>
  <c r="E50" i="95"/>
  <c r="D50" i="95"/>
  <c r="C50" i="95"/>
  <c r="B50" i="95"/>
  <c r="U49" i="95"/>
  <c r="T49" i="95"/>
  <c r="S49" i="95"/>
  <c r="R49" i="95"/>
  <c r="Q49" i="95"/>
  <c r="H49" i="95"/>
  <c r="G49" i="95"/>
  <c r="F49" i="95"/>
  <c r="E49" i="95"/>
  <c r="D49" i="95"/>
  <c r="C49" i="95"/>
  <c r="B49" i="95"/>
  <c r="V48" i="95"/>
  <c r="I48" i="95"/>
  <c r="T51" i="95"/>
  <c r="U51" i="95"/>
  <c r="I40" i="95"/>
  <c r="S51" i="95"/>
  <c r="V39" i="95"/>
  <c r="I39" i="95"/>
  <c r="W29" i="95"/>
  <c r="V29" i="95"/>
  <c r="U29" i="95"/>
  <c r="T29" i="95"/>
  <c r="S29" i="95"/>
  <c r="R29" i="95"/>
  <c r="Q29" i="95"/>
  <c r="P29" i="95"/>
  <c r="O29" i="95"/>
  <c r="N29" i="95"/>
  <c r="M29" i="95"/>
  <c r="L29" i="95"/>
  <c r="K29" i="95"/>
  <c r="J29" i="95"/>
  <c r="I29" i="95"/>
  <c r="H29" i="95"/>
  <c r="G29" i="95"/>
  <c r="F29" i="95"/>
  <c r="E29" i="95"/>
  <c r="D29" i="95"/>
  <c r="C29" i="95"/>
  <c r="W28" i="95"/>
  <c r="V28" i="95"/>
  <c r="U28" i="95"/>
  <c r="T28" i="95"/>
  <c r="S28" i="95"/>
  <c r="R28" i="95"/>
  <c r="Q28" i="95"/>
  <c r="P28" i="95"/>
  <c r="O28" i="95"/>
  <c r="N28" i="95"/>
  <c r="M28" i="95"/>
  <c r="L28" i="95"/>
  <c r="K28" i="95"/>
  <c r="J28" i="95"/>
  <c r="I28" i="95"/>
  <c r="H28" i="95"/>
  <c r="G28" i="95"/>
  <c r="F28" i="95"/>
  <c r="E28" i="95"/>
  <c r="D28" i="95"/>
  <c r="C28" i="95"/>
  <c r="B28" i="95"/>
  <c r="Y19" i="95"/>
  <c r="Y18" i="95"/>
  <c r="U25" i="95" l="1"/>
  <c r="U30" i="95" s="1"/>
  <c r="G60" i="95"/>
  <c r="G61" i="95"/>
  <c r="V42" i="95"/>
  <c r="C46" i="95"/>
  <c r="C51" i="95" s="1"/>
  <c r="D46" i="95"/>
  <c r="D51" i="95" s="1"/>
  <c r="R25" i="95"/>
  <c r="R30" i="95" s="1"/>
  <c r="G25" i="95"/>
  <c r="G30" i="95" s="1"/>
  <c r="C65" i="95"/>
  <c r="C70" i="95" s="1"/>
  <c r="V41" i="95"/>
  <c r="V45" i="95"/>
  <c r="Q46" i="95"/>
  <c r="B46" i="95"/>
  <c r="B51" i="95" s="1"/>
  <c r="I42" i="95"/>
  <c r="G46" i="95"/>
  <c r="G51" i="95" s="1"/>
  <c r="I41" i="95"/>
  <c r="I43" i="95"/>
  <c r="S25" i="95"/>
  <c r="S30" i="95" s="1"/>
  <c r="T25" i="95"/>
  <c r="T30" i="95" s="1"/>
  <c r="E25" i="95"/>
  <c r="E30" i="95" s="1"/>
  <c r="M25" i="95"/>
  <c r="M30" i="95" s="1"/>
  <c r="Q25" i="95"/>
  <c r="Q30" i="95" s="1"/>
  <c r="B25" i="95"/>
  <c r="B30" i="95" s="1"/>
  <c r="J25" i="95"/>
  <c r="J30" i="95" s="1"/>
  <c r="F25" i="95"/>
  <c r="F30" i="95" s="1"/>
  <c r="N25" i="95"/>
  <c r="N30" i="95" s="1"/>
  <c r="C25" i="95"/>
  <c r="C30" i="95" s="1"/>
  <c r="H25" i="95"/>
  <c r="H30" i="95" s="1"/>
  <c r="D25" i="95"/>
  <c r="D30" i="95" s="1"/>
  <c r="L25" i="95"/>
  <c r="L30" i="95" s="1"/>
  <c r="K25" i="95"/>
  <c r="K30" i="95" s="1"/>
  <c r="I25" i="95"/>
  <c r="I30" i="95" s="1"/>
  <c r="Y21" i="95"/>
  <c r="Y22" i="95"/>
  <c r="V40" i="95"/>
  <c r="G58" i="95"/>
  <c r="Y20" i="95"/>
  <c r="E46" i="95"/>
  <c r="E51" i="95" s="1"/>
  <c r="Q51" i="95" l="1"/>
  <c r="W29" i="91" l="1"/>
  <c r="W22" i="91"/>
  <c r="W23" i="91"/>
  <c r="W24" i="91"/>
  <c r="W21" i="91"/>
  <c r="S29" i="91"/>
  <c r="T29" i="91"/>
  <c r="U29" i="91"/>
  <c r="V29" i="91"/>
  <c r="V22" i="91"/>
  <c r="V23" i="91"/>
  <c r="V24" i="91"/>
  <c r="V21" i="91"/>
  <c r="U22" i="91"/>
  <c r="U23" i="91"/>
  <c r="U24" i="91"/>
  <c r="U21" i="91"/>
  <c r="T22" i="91"/>
  <c r="T23" i="91"/>
  <c r="T24" i="91"/>
  <c r="T21" i="91"/>
  <c r="S22" i="91"/>
  <c r="S23" i="91"/>
  <c r="S24" i="91"/>
  <c r="S21" i="91"/>
  <c r="Q29" i="91"/>
  <c r="R29" i="91"/>
  <c r="R22" i="91"/>
  <c r="R23" i="91"/>
  <c r="R24" i="91"/>
  <c r="R21" i="91"/>
  <c r="Q22" i="91"/>
  <c r="Q23" i="91"/>
  <c r="Q24" i="91"/>
  <c r="Q21" i="91"/>
  <c r="P29" i="91"/>
  <c r="O29" i="91"/>
  <c r="P22" i="91"/>
  <c r="P23" i="91"/>
  <c r="P24" i="91"/>
  <c r="P21" i="91"/>
  <c r="O22" i="91"/>
  <c r="O23" i="91"/>
  <c r="O24" i="91"/>
  <c r="O21" i="91"/>
  <c r="H42" i="91" l="1"/>
  <c r="H43" i="91"/>
  <c r="H44" i="91"/>
  <c r="H45" i="91"/>
  <c r="H41" i="91"/>
  <c r="G42" i="91"/>
  <c r="G43" i="91"/>
  <c r="G44" i="91"/>
  <c r="G45" i="91"/>
  <c r="G41" i="91"/>
  <c r="F42" i="91"/>
  <c r="F43" i="91"/>
  <c r="F44" i="91"/>
  <c r="F45" i="91"/>
  <c r="F41" i="91"/>
  <c r="E42" i="91"/>
  <c r="E43" i="91"/>
  <c r="E44" i="91"/>
  <c r="E45" i="91"/>
  <c r="E41" i="91"/>
  <c r="D42" i="91"/>
  <c r="D43" i="91"/>
  <c r="D44" i="91"/>
  <c r="D45" i="91"/>
  <c r="D41" i="91"/>
  <c r="C42" i="91"/>
  <c r="C43" i="91"/>
  <c r="C44" i="91"/>
  <c r="C45" i="91"/>
  <c r="C41" i="91"/>
  <c r="B42" i="91"/>
  <c r="B43" i="91"/>
  <c r="B44" i="91"/>
  <c r="B45" i="91"/>
  <c r="B41" i="91"/>
  <c r="C29" i="91" l="1"/>
  <c r="D29" i="91"/>
  <c r="E29" i="91"/>
  <c r="F29" i="91"/>
  <c r="G29" i="91"/>
  <c r="H29" i="91"/>
  <c r="I29" i="91"/>
  <c r="J29" i="91"/>
  <c r="K29" i="91"/>
  <c r="L29" i="91"/>
  <c r="M29" i="91"/>
  <c r="N29" i="91"/>
  <c r="B29" i="91"/>
  <c r="N21" i="91"/>
  <c r="N22" i="91"/>
  <c r="N23" i="91"/>
  <c r="N24" i="91"/>
  <c r="N20" i="91"/>
  <c r="M21" i="91"/>
  <c r="M22" i="91"/>
  <c r="M23" i="91"/>
  <c r="M24" i="91"/>
  <c r="M20" i="91"/>
  <c r="L21" i="91"/>
  <c r="L22" i="91"/>
  <c r="L23" i="91"/>
  <c r="L24" i="91"/>
  <c r="L20" i="91"/>
  <c r="K21" i="91"/>
  <c r="K22" i="91"/>
  <c r="K23" i="91"/>
  <c r="K24" i="91"/>
  <c r="K20" i="91"/>
  <c r="J21" i="91"/>
  <c r="J22" i="91"/>
  <c r="J23" i="91"/>
  <c r="J24" i="91"/>
  <c r="J20" i="91"/>
  <c r="I21" i="91"/>
  <c r="I22" i="91"/>
  <c r="I23" i="91"/>
  <c r="I24" i="91"/>
  <c r="I20" i="91"/>
  <c r="H21" i="91"/>
  <c r="H22" i="91"/>
  <c r="H23" i="91"/>
  <c r="H24" i="91"/>
  <c r="H20" i="91"/>
  <c r="G21" i="91"/>
  <c r="G22" i="91"/>
  <c r="G23" i="91"/>
  <c r="G24" i="91"/>
  <c r="G20" i="91"/>
  <c r="F21" i="91"/>
  <c r="F22" i="91"/>
  <c r="F23" i="91"/>
  <c r="F24" i="91"/>
  <c r="F20" i="91"/>
  <c r="E21" i="91"/>
  <c r="E22" i="91"/>
  <c r="E23" i="91"/>
  <c r="E24" i="91"/>
  <c r="E20" i="91"/>
  <c r="D21" i="91"/>
  <c r="D22" i="91"/>
  <c r="D23" i="91"/>
  <c r="D24" i="91"/>
  <c r="D20" i="91"/>
  <c r="C21" i="91"/>
  <c r="C22" i="91"/>
  <c r="C23" i="91"/>
  <c r="C24" i="91"/>
  <c r="C20" i="91"/>
  <c r="B21" i="91"/>
  <c r="B22" i="91"/>
  <c r="B23" i="91"/>
  <c r="B24" i="91"/>
  <c r="B20" i="91"/>
  <c r="N28" i="91"/>
  <c r="M28" i="91"/>
  <c r="H28" i="91"/>
  <c r="C69" i="91"/>
  <c r="B69" i="91"/>
  <c r="C68" i="91"/>
  <c r="B68" i="91"/>
  <c r="G67" i="91"/>
  <c r="C64" i="91"/>
  <c r="B64" i="91"/>
  <c r="C63" i="91"/>
  <c r="B63" i="91"/>
  <c r="C62" i="91"/>
  <c r="B62" i="91"/>
  <c r="C61" i="91"/>
  <c r="B61" i="91"/>
  <c r="C60" i="91"/>
  <c r="B60" i="91"/>
  <c r="C59" i="91"/>
  <c r="B59" i="91"/>
  <c r="C58" i="91"/>
  <c r="B58" i="91"/>
  <c r="U50" i="91"/>
  <c r="T50" i="91"/>
  <c r="S50" i="91"/>
  <c r="R50" i="91"/>
  <c r="Q50" i="91"/>
  <c r="H50" i="91"/>
  <c r="G50" i="91"/>
  <c r="F50" i="91"/>
  <c r="E50" i="91"/>
  <c r="D50" i="91"/>
  <c r="C50" i="91"/>
  <c r="B50" i="91"/>
  <c r="U49" i="91"/>
  <c r="T49" i="91"/>
  <c r="S49" i="91"/>
  <c r="R49" i="91"/>
  <c r="Q49" i="91"/>
  <c r="H49" i="91"/>
  <c r="G49" i="91"/>
  <c r="F49" i="91"/>
  <c r="E49" i="91"/>
  <c r="D49" i="91"/>
  <c r="C49" i="91"/>
  <c r="B49" i="91"/>
  <c r="V48" i="91"/>
  <c r="I48" i="91"/>
  <c r="U45" i="91"/>
  <c r="T45" i="91"/>
  <c r="S45" i="91"/>
  <c r="R45" i="91"/>
  <c r="Q45" i="91"/>
  <c r="U44" i="91"/>
  <c r="T44" i="91"/>
  <c r="S44" i="91"/>
  <c r="R44" i="91"/>
  <c r="Q44" i="91"/>
  <c r="U43" i="91"/>
  <c r="T43" i="91"/>
  <c r="S43" i="91"/>
  <c r="R43" i="91"/>
  <c r="Q43" i="91"/>
  <c r="U42" i="91"/>
  <c r="T42" i="91"/>
  <c r="S42" i="91"/>
  <c r="R42" i="91"/>
  <c r="Q42" i="91"/>
  <c r="U41" i="91"/>
  <c r="T41" i="91"/>
  <c r="S41" i="91"/>
  <c r="R41" i="91"/>
  <c r="Q41" i="91"/>
  <c r="H46" i="91"/>
  <c r="H51" i="91" s="1"/>
  <c r="C46" i="91"/>
  <c r="C51" i="91" s="1"/>
  <c r="U40" i="91"/>
  <c r="T40" i="91"/>
  <c r="S40" i="91"/>
  <c r="R40" i="91"/>
  <c r="Q40" i="91"/>
  <c r="G46" i="91"/>
  <c r="G51" i="91" s="1"/>
  <c r="F46" i="91"/>
  <c r="F51" i="91" s="1"/>
  <c r="D46" i="91"/>
  <c r="D51" i="91" s="1"/>
  <c r="U39" i="91"/>
  <c r="T39" i="91"/>
  <c r="S39" i="91"/>
  <c r="R39" i="91"/>
  <c r="Q39" i="91"/>
  <c r="I39" i="91"/>
  <c r="W28" i="91"/>
  <c r="V28" i="91"/>
  <c r="U28" i="91"/>
  <c r="T28" i="91"/>
  <c r="S28" i="91"/>
  <c r="R28" i="91"/>
  <c r="Q28" i="91"/>
  <c r="P28" i="91"/>
  <c r="O28" i="91"/>
  <c r="L28" i="91"/>
  <c r="K28" i="91"/>
  <c r="J28" i="91"/>
  <c r="I28" i="91"/>
  <c r="G28" i="91"/>
  <c r="F28" i="91"/>
  <c r="E28" i="91"/>
  <c r="D28" i="91"/>
  <c r="C28" i="91"/>
  <c r="B28" i="91"/>
  <c r="Y27" i="91"/>
  <c r="Y18" i="91"/>
  <c r="G60" i="91" l="1"/>
  <c r="G61" i="91"/>
  <c r="G62" i="91"/>
  <c r="G64" i="91"/>
  <c r="H25" i="91"/>
  <c r="H30" i="91" s="1"/>
  <c r="B25" i="91"/>
  <c r="B30" i="91" s="1"/>
  <c r="V41" i="91"/>
  <c r="V45" i="91"/>
  <c r="G63" i="91"/>
  <c r="U46" i="91"/>
  <c r="U51" i="91" s="1"/>
  <c r="V43" i="91"/>
  <c r="J25" i="91"/>
  <c r="J30" i="91" s="1"/>
  <c r="G58" i="91"/>
  <c r="Q46" i="91"/>
  <c r="N25" i="91"/>
  <c r="N30" i="91" s="1"/>
  <c r="T46" i="91"/>
  <c r="T51" i="91" s="1"/>
  <c r="C65" i="91"/>
  <c r="C70" i="91" s="1"/>
  <c r="M25" i="91"/>
  <c r="M30" i="91" s="1"/>
  <c r="V44" i="91"/>
  <c r="V40" i="91"/>
  <c r="G59" i="91"/>
  <c r="V39" i="91"/>
  <c r="S46" i="91"/>
  <c r="S51" i="91" s="1"/>
  <c r="Q25" i="91"/>
  <c r="Q30" i="91" s="1"/>
  <c r="O25" i="91"/>
  <c r="O30" i="91" s="1"/>
  <c r="W25" i="91"/>
  <c r="W30" i="91" s="1"/>
  <c r="R25" i="91"/>
  <c r="R30" i="91" s="1"/>
  <c r="U25" i="91"/>
  <c r="U30" i="91" s="1"/>
  <c r="T25" i="91"/>
  <c r="T30" i="91" s="1"/>
  <c r="V25" i="91"/>
  <c r="V30" i="91" s="1"/>
  <c r="I44" i="91"/>
  <c r="I45" i="91"/>
  <c r="I42" i="91"/>
  <c r="I43" i="91"/>
  <c r="I41" i="91"/>
  <c r="I40" i="91"/>
  <c r="I25" i="91"/>
  <c r="I30" i="91" s="1"/>
  <c r="C25" i="91"/>
  <c r="C30" i="91" s="1"/>
  <c r="K25" i="91"/>
  <c r="K30" i="91" s="1"/>
  <c r="G25" i="91"/>
  <c r="G30" i="91" s="1"/>
  <c r="D25" i="91"/>
  <c r="D30" i="91" s="1"/>
  <c r="L25" i="91"/>
  <c r="L30" i="91" s="1"/>
  <c r="Y23" i="91"/>
  <c r="E25" i="91"/>
  <c r="E30" i="91" s="1"/>
  <c r="Y19" i="91"/>
  <c r="Y22" i="91"/>
  <c r="Y21" i="91"/>
  <c r="R46" i="91"/>
  <c r="R51" i="91" s="1"/>
  <c r="B65" i="91"/>
  <c r="E46" i="91"/>
  <c r="E51" i="91" s="1"/>
  <c r="Y20" i="91"/>
  <c r="F25" i="91"/>
  <c r="F30" i="91" s="1"/>
  <c r="V42" i="91"/>
  <c r="V46" i="91" l="1"/>
  <c r="V49" i="91" s="1"/>
  <c r="Q51" i="91"/>
  <c r="B46" i="91"/>
  <c r="B51" i="91" s="1"/>
  <c r="G65" i="91"/>
  <c r="B70" i="91"/>
  <c r="V47" i="91" l="1"/>
  <c r="I46" i="91"/>
  <c r="I47" i="91" s="1"/>
  <c r="G66" i="91"/>
  <c r="G68" i="91"/>
  <c r="I49" i="91" l="1"/>
  <c r="C69" i="88"/>
  <c r="F68" i="88"/>
  <c r="E68" i="88"/>
  <c r="E69" i="88"/>
  <c r="S48" i="88"/>
  <c r="B22" i="88" l="1"/>
  <c r="F69" i="88"/>
  <c r="D69" i="88"/>
  <c r="B69" i="88"/>
  <c r="D68" i="88"/>
  <c r="C68" i="88"/>
  <c r="B68" i="88"/>
  <c r="G67" i="88"/>
  <c r="F64" i="88"/>
  <c r="E64" i="88"/>
  <c r="D64" i="88"/>
  <c r="C64" i="88"/>
  <c r="B64" i="88"/>
  <c r="F63" i="88"/>
  <c r="E63" i="88"/>
  <c r="D63" i="88"/>
  <c r="C63" i="88"/>
  <c r="B63" i="88"/>
  <c r="F62" i="88"/>
  <c r="E62" i="88"/>
  <c r="D62" i="88"/>
  <c r="C62" i="88"/>
  <c r="B62" i="88"/>
  <c r="F61" i="88"/>
  <c r="E61" i="88"/>
  <c r="D61" i="88"/>
  <c r="C61" i="88"/>
  <c r="B61" i="88"/>
  <c r="F60" i="88"/>
  <c r="E60" i="88"/>
  <c r="D60" i="88"/>
  <c r="C60" i="88"/>
  <c r="B60" i="88"/>
  <c r="F59" i="88"/>
  <c r="E59" i="88"/>
  <c r="D59" i="88"/>
  <c r="C59" i="88"/>
  <c r="B59" i="88"/>
  <c r="F58" i="88"/>
  <c r="E58" i="88"/>
  <c r="D58" i="88"/>
  <c r="C58" i="88"/>
  <c r="B58" i="88"/>
  <c r="R50" i="88"/>
  <c r="Q50" i="88"/>
  <c r="P50" i="88"/>
  <c r="O50" i="88"/>
  <c r="N50" i="88"/>
  <c r="G50" i="88"/>
  <c r="F50" i="88"/>
  <c r="E50" i="88"/>
  <c r="D50" i="88"/>
  <c r="C50" i="88"/>
  <c r="B50" i="88"/>
  <c r="R49" i="88"/>
  <c r="Q49" i="88"/>
  <c r="P49" i="88"/>
  <c r="O49" i="88"/>
  <c r="N49" i="88"/>
  <c r="G49" i="88"/>
  <c r="F49" i="88"/>
  <c r="E49" i="88"/>
  <c r="D49" i="88"/>
  <c r="C49" i="88"/>
  <c r="B49" i="88"/>
  <c r="H48" i="88"/>
  <c r="R45" i="88"/>
  <c r="Q45" i="88"/>
  <c r="P45" i="88"/>
  <c r="O45" i="88"/>
  <c r="N45" i="88"/>
  <c r="G45" i="88"/>
  <c r="F45" i="88"/>
  <c r="E45" i="88"/>
  <c r="D45" i="88"/>
  <c r="C45" i="88"/>
  <c r="B45" i="88"/>
  <c r="R44" i="88"/>
  <c r="Q44" i="88"/>
  <c r="P44" i="88"/>
  <c r="O44" i="88"/>
  <c r="N44" i="88"/>
  <c r="G44" i="88"/>
  <c r="F44" i="88"/>
  <c r="E44" i="88"/>
  <c r="D44" i="88"/>
  <c r="C44" i="88"/>
  <c r="B44" i="88"/>
  <c r="R43" i="88"/>
  <c r="Q43" i="88"/>
  <c r="P43" i="88"/>
  <c r="O43" i="88"/>
  <c r="N43" i="88"/>
  <c r="G43" i="88"/>
  <c r="F43" i="88"/>
  <c r="E43" i="88"/>
  <c r="D43" i="88"/>
  <c r="C43" i="88"/>
  <c r="B43" i="88"/>
  <c r="R42" i="88"/>
  <c r="Q42" i="88"/>
  <c r="P42" i="88"/>
  <c r="O42" i="88"/>
  <c r="N42" i="88"/>
  <c r="G42" i="88"/>
  <c r="F42" i="88"/>
  <c r="E42" i="88"/>
  <c r="D42" i="88"/>
  <c r="C42" i="88"/>
  <c r="B42" i="88"/>
  <c r="R41" i="88"/>
  <c r="Q41" i="88"/>
  <c r="P41" i="88"/>
  <c r="O41" i="88"/>
  <c r="N41" i="88"/>
  <c r="G41" i="88"/>
  <c r="F41" i="88"/>
  <c r="E41" i="88"/>
  <c r="D41" i="88"/>
  <c r="C41" i="88"/>
  <c r="B41" i="88"/>
  <c r="R40" i="88"/>
  <c r="Q40" i="88"/>
  <c r="P40" i="88"/>
  <c r="O40" i="88"/>
  <c r="N40" i="88"/>
  <c r="G40" i="88"/>
  <c r="F40" i="88"/>
  <c r="E40" i="88"/>
  <c r="D40" i="88"/>
  <c r="C40" i="88"/>
  <c r="B40" i="88"/>
  <c r="R39" i="88"/>
  <c r="Q39" i="88"/>
  <c r="P39" i="88"/>
  <c r="O39" i="88"/>
  <c r="N39" i="88"/>
  <c r="H39" i="88"/>
  <c r="U29" i="88"/>
  <c r="T29" i="88"/>
  <c r="S29" i="88"/>
  <c r="R29" i="88"/>
  <c r="Q29" i="88"/>
  <c r="P29" i="88"/>
  <c r="O29" i="88"/>
  <c r="N29" i="88"/>
  <c r="M29" i="88"/>
  <c r="L29" i="88"/>
  <c r="K29" i="88"/>
  <c r="J29" i="88"/>
  <c r="I29" i="88"/>
  <c r="H29" i="88"/>
  <c r="G29" i="88"/>
  <c r="F29" i="88"/>
  <c r="E29" i="88"/>
  <c r="D29" i="88"/>
  <c r="C29" i="88"/>
  <c r="B29" i="88"/>
  <c r="U28" i="88"/>
  <c r="T28" i="88"/>
  <c r="S28" i="88"/>
  <c r="R28" i="88"/>
  <c r="Q28" i="88"/>
  <c r="P28" i="88"/>
  <c r="O28" i="88"/>
  <c r="N28" i="88"/>
  <c r="M28" i="88"/>
  <c r="L28" i="88"/>
  <c r="K28" i="88"/>
  <c r="J28" i="88"/>
  <c r="I28" i="88"/>
  <c r="H28" i="88"/>
  <c r="G28" i="88"/>
  <c r="F28" i="88"/>
  <c r="E28" i="88"/>
  <c r="D28" i="88"/>
  <c r="C28" i="88"/>
  <c r="B28" i="88"/>
  <c r="V27" i="88"/>
  <c r="U24" i="88"/>
  <c r="T24" i="88"/>
  <c r="S24" i="88"/>
  <c r="R24" i="88"/>
  <c r="Q24" i="88"/>
  <c r="P24" i="88"/>
  <c r="O24" i="88"/>
  <c r="N24" i="88"/>
  <c r="M24" i="88"/>
  <c r="L24" i="88"/>
  <c r="K24" i="88"/>
  <c r="J24" i="88"/>
  <c r="I24" i="88"/>
  <c r="H24" i="88"/>
  <c r="G24" i="88"/>
  <c r="F24" i="88"/>
  <c r="E24" i="88"/>
  <c r="D24" i="88"/>
  <c r="C24" i="88"/>
  <c r="B24" i="88"/>
  <c r="U23" i="88"/>
  <c r="T23" i="88"/>
  <c r="S23" i="88"/>
  <c r="R23" i="88"/>
  <c r="Q23" i="88"/>
  <c r="P23" i="88"/>
  <c r="O23" i="88"/>
  <c r="N23" i="88"/>
  <c r="M23" i="88"/>
  <c r="L23" i="88"/>
  <c r="K23" i="88"/>
  <c r="J23" i="88"/>
  <c r="I23" i="88"/>
  <c r="H23" i="88"/>
  <c r="G23" i="88"/>
  <c r="F23" i="88"/>
  <c r="E23" i="88"/>
  <c r="D23" i="88"/>
  <c r="C23" i="88"/>
  <c r="B23" i="88"/>
  <c r="U22" i="88"/>
  <c r="T22" i="88"/>
  <c r="S22" i="88"/>
  <c r="R22" i="88"/>
  <c r="Q22" i="88"/>
  <c r="P22" i="88"/>
  <c r="O22" i="88"/>
  <c r="N22" i="88"/>
  <c r="M22" i="88"/>
  <c r="L22" i="88"/>
  <c r="K22" i="88"/>
  <c r="J22" i="88"/>
  <c r="I22" i="88"/>
  <c r="H22" i="88"/>
  <c r="G22" i="88"/>
  <c r="F22" i="88"/>
  <c r="E22" i="88"/>
  <c r="D22" i="88"/>
  <c r="C22" i="88"/>
  <c r="U21" i="88"/>
  <c r="T21" i="88"/>
  <c r="S21" i="88"/>
  <c r="R21" i="88"/>
  <c r="Q21" i="88"/>
  <c r="P21" i="88"/>
  <c r="O21" i="88"/>
  <c r="N21" i="88"/>
  <c r="M21" i="88"/>
  <c r="L21" i="88"/>
  <c r="K21" i="88"/>
  <c r="J21" i="88"/>
  <c r="I21" i="88"/>
  <c r="H21" i="88"/>
  <c r="G21" i="88"/>
  <c r="F21" i="88"/>
  <c r="E21" i="88"/>
  <c r="D21" i="88"/>
  <c r="C21" i="88"/>
  <c r="B21" i="88"/>
  <c r="U20" i="88"/>
  <c r="T20" i="88"/>
  <c r="S20" i="88"/>
  <c r="R20" i="88"/>
  <c r="Q20" i="88"/>
  <c r="P20" i="88"/>
  <c r="O20" i="88"/>
  <c r="N20" i="88"/>
  <c r="M20" i="88"/>
  <c r="L20" i="88"/>
  <c r="K20" i="88"/>
  <c r="J20" i="88"/>
  <c r="I20" i="88"/>
  <c r="H20" i="88"/>
  <c r="G20" i="88"/>
  <c r="F20" i="88"/>
  <c r="E20" i="88"/>
  <c r="D20" i="88"/>
  <c r="C20" i="88"/>
  <c r="B20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L25" i="88" l="1"/>
  <c r="L30" i="88" s="1"/>
  <c r="G62" i="88"/>
  <c r="S44" i="88"/>
  <c r="S40" i="88"/>
  <c r="C25" i="88"/>
  <c r="C30" i="88" s="1"/>
  <c r="S25" i="88"/>
  <c r="S30" i="88" s="1"/>
  <c r="T25" i="88"/>
  <c r="T30" i="88" s="1"/>
  <c r="K25" i="88"/>
  <c r="K30" i="88" s="1"/>
  <c r="O46" i="88"/>
  <c r="O51" i="88" s="1"/>
  <c r="G61" i="88"/>
  <c r="G58" i="88"/>
  <c r="D25" i="88"/>
  <c r="D30" i="88" s="1"/>
  <c r="S41" i="88"/>
  <c r="S43" i="88"/>
  <c r="S39" i="88"/>
  <c r="P46" i="88"/>
  <c r="P51" i="88" s="1"/>
  <c r="S42" i="88"/>
  <c r="S45" i="88"/>
  <c r="R46" i="88"/>
  <c r="R51" i="88" s="1"/>
  <c r="G60" i="88"/>
  <c r="F65" i="88"/>
  <c r="F70" i="88" s="1"/>
  <c r="G64" i="88"/>
  <c r="G63" i="88"/>
  <c r="C65" i="88"/>
  <c r="C70" i="88" s="1"/>
  <c r="D65" i="88"/>
  <c r="D70" i="88" s="1"/>
  <c r="E65" i="88"/>
  <c r="E70" i="88" s="1"/>
  <c r="G59" i="88"/>
  <c r="Q46" i="88"/>
  <c r="Q51" i="88" s="1"/>
  <c r="B65" i="88"/>
  <c r="B70" i="88" s="1"/>
  <c r="H44" i="88"/>
  <c r="H42" i="88"/>
  <c r="H41" i="88"/>
  <c r="B46" i="88"/>
  <c r="B51" i="88" s="1"/>
  <c r="H45" i="88"/>
  <c r="C46" i="88"/>
  <c r="C51" i="88" s="1"/>
  <c r="G46" i="88"/>
  <c r="G51" i="88" s="1"/>
  <c r="D46" i="88"/>
  <c r="D51" i="88" s="1"/>
  <c r="H43" i="88"/>
  <c r="E46" i="88"/>
  <c r="E51" i="88" s="1"/>
  <c r="F46" i="88"/>
  <c r="F51" i="88" s="1"/>
  <c r="Q25" i="88"/>
  <c r="Q30" i="88" s="1"/>
  <c r="B25" i="88"/>
  <c r="B30" i="88" s="1"/>
  <c r="J25" i="88"/>
  <c r="J30" i="88" s="1"/>
  <c r="R25" i="88"/>
  <c r="R30" i="88" s="1"/>
  <c r="E25" i="88"/>
  <c r="E30" i="88" s="1"/>
  <c r="M25" i="88"/>
  <c r="M30" i="88" s="1"/>
  <c r="U25" i="88"/>
  <c r="U30" i="88" s="1"/>
  <c r="I25" i="88"/>
  <c r="I30" i="88" s="1"/>
  <c r="V21" i="88"/>
  <c r="V23" i="88"/>
  <c r="V20" i="88"/>
  <c r="V24" i="88"/>
  <c r="V19" i="88"/>
  <c r="N25" i="88"/>
  <c r="N30" i="88" s="1"/>
  <c r="G25" i="88"/>
  <c r="G30" i="88" s="1"/>
  <c r="O25" i="88"/>
  <c r="O30" i="88" s="1"/>
  <c r="H25" i="88"/>
  <c r="H30" i="88" s="1"/>
  <c r="P25" i="88"/>
  <c r="P30" i="88" s="1"/>
  <c r="V22" i="88"/>
  <c r="N46" i="88"/>
  <c r="H40" i="88"/>
  <c r="F25" i="88"/>
  <c r="F30" i="88" s="1"/>
  <c r="G65" i="88" l="1"/>
  <c r="G68" i="88" s="1"/>
  <c r="H46" i="88"/>
  <c r="H49" i="88" s="1"/>
  <c r="V25" i="88"/>
  <c r="V26" i="88" s="1"/>
  <c r="S46" i="88"/>
  <c r="N51" i="88"/>
  <c r="G41" i="87"/>
  <c r="G42" i="87"/>
  <c r="G43" i="87"/>
  <c r="G44" i="87"/>
  <c r="G45" i="87"/>
  <c r="G40" i="87"/>
  <c r="F41" i="87"/>
  <c r="F42" i="87"/>
  <c r="F43" i="87"/>
  <c r="F44" i="87"/>
  <c r="F45" i="87"/>
  <c r="F40" i="87"/>
  <c r="E45" i="87"/>
  <c r="E41" i="87"/>
  <c r="E42" i="87"/>
  <c r="E43" i="87"/>
  <c r="E44" i="87"/>
  <c r="E40" i="87"/>
  <c r="D41" i="87"/>
  <c r="D42" i="87"/>
  <c r="D43" i="87"/>
  <c r="D44" i="87"/>
  <c r="D45" i="87"/>
  <c r="D40" i="87"/>
  <c r="C41" i="87"/>
  <c r="C42" i="87"/>
  <c r="C43" i="87"/>
  <c r="C44" i="87"/>
  <c r="C45" i="87"/>
  <c r="C40" i="87"/>
  <c r="B41" i="87"/>
  <c r="B42" i="87"/>
  <c r="B43" i="87"/>
  <c r="B44" i="87"/>
  <c r="B45" i="87"/>
  <c r="B40" i="87"/>
  <c r="U20" i="87"/>
  <c r="U21" i="87"/>
  <c r="U22" i="87"/>
  <c r="U23" i="87"/>
  <c r="U24" i="87"/>
  <c r="U19" i="87"/>
  <c r="T20" i="87"/>
  <c r="T21" i="87"/>
  <c r="T22" i="87"/>
  <c r="T23" i="87"/>
  <c r="T24" i="87"/>
  <c r="T19" i="87"/>
  <c r="S20" i="87"/>
  <c r="S21" i="87"/>
  <c r="S22" i="87"/>
  <c r="S23" i="87"/>
  <c r="S24" i="87"/>
  <c r="S19" i="87"/>
  <c r="T29" i="87"/>
  <c r="U29" i="87"/>
  <c r="T28" i="87"/>
  <c r="U28" i="87"/>
  <c r="R20" i="87"/>
  <c r="R21" i="87"/>
  <c r="R22" i="87"/>
  <c r="R23" i="87"/>
  <c r="R24" i="87"/>
  <c r="R19" i="87"/>
  <c r="Q20" i="87"/>
  <c r="Q21" i="87"/>
  <c r="Q22" i="87"/>
  <c r="Q23" i="87"/>
  <c r="Q24" i="87"/>
  <c r="Q19" i="87"/>
  <c r="P20" i="87"/>
  <c r="P21" i="87"/>
  <c r="P22" i="87"/>
  <c r="P23" i="87"/>
  <c r="P24" i="87"/>
  <c r="P19" i="87"/>
  <c r="O20" i="87"/>
  <c r="O21" i="87"/>
  <c r="O22" i="87"/>
  <c r="O23" i="87"/>
  <c r="O24" i="87"/>
  <c r="O19" i="87"/>
  <c r="N20" i="87"/>
  <c r="N21" i="87"/>
  <c r="N22" i="87"/>
  <c r="N23" i="87"/>
  <c r="N24" i="87"/>
  <c r="N19" i="87"/>
  <c r="M20" i="87"/>
  <c r="M21" i="87"/>
  <c r="M22" i="87"/>
  <c r="M23" i="87"/>
  <c r="M24" i="87"/>
  <c r="M19" i="87"/>
  <c r="L20" i="87"/>
  <c r="L21" i="87"/>
  <c r="L22" i="87"/>
  <c r="L23" i="87"/>
  <c r="L24" i="87"/>
  <c r="L19" i="87"/>
  <c r="K20" i="87"/>
  <c r="K21" i="87"/>
  <c r="K22" i="87"/>
  <c r="K23" i="87"/>
  <c r="K24" i="87"/>
  <c r="K19" i="87"/>
  <c r="J20" i="87"/>
  <c r="J21" i="87"/>
  <c r="J22" i="87"/>
  <c r="J23" i="87"/>
  <c r="J24" i="87"/>
  <c r="J19" i="87"/>
  <c r="I20" i="87"/>
  <c r="I21" i="87"/>
  <c r="I22" i="87"/>
  <c r="I23" i="87"/>
  <c r="I24" i="87"/>
  <c r="I19" i="87"/>
  <c r="H20" i="87"/>
  <c r="H21" i="87"/>
  <c r="H22" i="87"/>
  <c r="H23" i="87"/>
  <c r="H24" i="87"/>
  <c r="H19" i="87"/>
  <c r="G20" i="87"/>
  <c r="G21" i="87"/>
  <c r="G22" i="87"/>
  <c r="G23" i="87"/>
  <c r="G24" i="87"/>
  <c r="G19" i="87"/>
  <c r="F20" i="87"/>
  <c r="F21" i="87"/>
  <c r="F22" i="87"/>
  <c r="F23" i="87"/>
  <c r="F24" i="87"/>
  <c r="F19" i="87"/>
  <c r="E20" i="87"/>
  <c r="E21" i="87"/>
  <c r="E22" i="87"/>
  <c r="E23" i="87"/>
  <c r="E24" i="87"/>
  <c r="E19" i="87"/>
  <c r="D20" i="87"/>
  <c r="D21" i="87"/>
  <c r="D22" i="87"/>
  <c r="D23" i="87"/>
  <c r="D24" i="87"/>
  <c r="D19" i="87"/>
  <c r="C20" i="87"/>
  <c r="C21" i="87"/>
  <c r="C22" i="87"/>
  <c r="C23" i="87"/>
  <c r="C24" i="87"/>
  <c r="C19" i="87"/>
  <c r="B20" i="87"/>
  <c r="B21" i="87"/>
  <c r="B22" i="87"/>
  <c r="B23" i="87"/>
  <c r="B24" i="87"/>
  <c r="B19" i="87"/>
  <c r="V18" i="87"/>
  <c r="V27" i="87"/>
  <c r="H47" i="88" l="1"/>
  <c r="B46" i="87"/>
  <c r="B51" i="87" s="1"/>
  <c r="G66" i="88"/>
  <c r="W27" i="88"/>
  <c r="S49" i="88"/>
  <c r="S47" i="88"/>
  <c r="T25" i="87"/>
  <c r="T30" i="87" s="1"/>
  <c r="U25" i="87"/>
  <c r="U30" i="87" s="1"/>
  <c r="V21" i="87"/>
  <c r="V20" i="87"/>
  <c r="V19" i="87"/>
  <c r="F69" i="87" l="1"/>
  <c r="E69" i="87"/>
  <c r="D69" i="87"/>
  <c r="C69" i="87"/>
  <c r="B69" i="87"/>
  <c r="F68" i="87"/>
  <c r="E68" i="87"/>
  <c r="D68" i="87"/>
  <c r="C68" i="87"/>
  <c r="B68" i="87"/>
  <c r="G67" i="87"/>
  <c r="F64" i="87"/>
  <c r="E64" i="87"/>
  <c r="D64" i="87"/>
  <c r="C64" i="87"/>
  <c r="B64" i="87"/>
  <c r="F63" i="87"/>
  <c r="E63" i="87"/>
  <c r="D63" i="87"/>
  <c r="C63" i="87"/>
  <c r="B63" i="87"/>
  <c r="F62" i="87"/>
  <c r="E62" i="87"/>
  <c r="D62" i="87"/>
  <c r="C62" i="87"/>
  <c r="B62" i="87"/>
  <c r="F61" i="87"/>
  <c r="E61" i="87"/>
  <c r="D61" i="87"/>
  <c r="C61" i="87"/>
  <c r="B61" i="87"/>
  <c r="F60" i="87"/>
  <c r="E60" i="87"/>
  <c r="D60" i="87"/>
  <c r="C60" i="87"/>
  <c r="B60" i="87"/>
  <c r="F59" i="87"/>
  <c r="E59" i="87"/>
  <c r="D59" i="87"/>
  <c r="C59" i="87"/>
  <c r="B59" i="87"/>
  <c r="F58" i="87"/>
  <c r="E58" i="87"/>
  <c r="D58" i="87"/>
  <c r="C58" i="87"/>
  <c r="B58" i="87"/>
  <c r="R50" i="87"/>
  <c r="Q50" i="87"/>
  <c r="P50" i="87"/>
  <c r="O50" i="87"/>
  <c r="N50" i="87"/>
  <c r="G50" i="87"/>
  <c r="F50" i="87"/>
  <c r="E50" i="87"/>
  <c r="D50" i="87"/>
  <c r="C50" i="87"/>
  <c r="B50" i="87"/>
  <c r="R49" i="87"/>
  <c r="Q49" i="87"/>
  <c r="P49" i="87"/>
  <c r="O49" i="87"/>
  <c r="N49" i="87"/>
  <c r="G49" i="87"/>
  <c r="F49" i="87"/>
  <c r="E49" i="87"/>
  <c r="D49" i="87"/>
  <c r="C49" i="87"/>
  <c r="B49" i="87"/>
  <c r="S48" i="87"/>
  <c r="H48" i="87"/>
  <c r="R45" i="87"/>
  <c r="Q45" i="87"/>
  <c r="P45" i="87"/>
  <c r="O45" i="87"/>
  <c r="N45" i="87"/>
  <c r="R44" i="87"/>
  <c r="Q44" i="87"/>
  <c r="P44" i="87"/>
  <c r="O44" i="87"/>
  <c r="N44" i="87"/>
  <c r="R43" i="87"/>
  <c r="Q43" i="87"/>
  <c r="P43" i="87"/>
  <c r="O43" i="87"/>
  <c r="N43" i="87"/>
  <c r="R42" i="87"/>
  <c r="Q42" i="87"/>
  <c r="P42" i="87"/>
  <c r="O42" i="87"/>
  <c r="N42" i="87"/>
  <c r="H42" i="87"/>
  <c r="R41" i="87"/>
  <c r="Q41" i="87"/>
  <c r="P41" i="87"/>
  <c r="O41" i="87"/>
  <c r="N41" i="87"/>
  <c r="R40" i="87"/>
  <c r="Q40" i="87"/>
  <c r="P40" i="87"/>
  <c r="O40" i="87"/>
  <c r="N40" i="87"/>
  <c r="H40" i="87"/>
  <c r="R39" i="87"/>
  <c r="Q39" i="87"/>
  <c r="P39" i="87"/>
  <c r="O39" i="87"/>
  <c r="N39" i="87"/>
  <c r="H39" i="87"/>
  <c r="S29" i="87"/>
  <c r="R29" i="87"/>
  <c r="Q29" i="87"/>
  <c r="P29" i="87"/>
  <c r="O29" i="87"/>
  <c r="N29" i="87"/>
  <c r="M29" i="87"/>
  <c r="L29" i="87"/>
  <c r="K29" i="87"/>
  <c r="J29" i="87"/>
  <c r="I29" i="87"/>
  <c r="H29" i="87"/>
  <c r="G29" i="87"/>
  <c r="F29" i="87"/>
  <c r="E29" i="87"/>
  <c r="D29" i="87"/>
  <c r="C29" i="87"/>
  <c r="B29" i="87"/>
  <c r="S28" i="87"/>
  <c r="R28" i="87"/>
  <c r="Q28" i="87"/>
  <c r="P28" i="87"/>
  <c r="O28" i="87"/>
  <c r="N28" i="87"/>
  <c r="M28" i="87"/>
  <c r="L28" i="87"/>
  <c r="K28" i="87"/>
  <c r="J28" i="87"/>
  <c r="I28" i="87"/>
  <c r="H28" i="87"/>
  <c r="G28" i="87"/>
  <c r="F28" i="87"/>
  <c r="E28" i="87"/>
  <c r="D28" i="87"/>
  <c r="C28" i="87"/>
  <c r="B28" i="87"/>
  <c r="L25" i="87"/>
  <c r="L30" i="87" s="1"/>
  <c r="D25" i="87"/>
  <c r="D30" i="87" s="1"/>
  <c r="S41" i="87" l="1"/>
  <c r="S42" i="87"/>
  <c r="P46" i="87"/>
  <c r="P51" i="87" s="1"/>
  <c r="G61" i="87"/>
  <c r="E65" i="87"/>
  <c r="E70" i="87" s="1"/>
  <c r="C65" i="87"/>
  <c r="C70" i="87" s="1"/>
  <c r="F65" i="87"/>
  <c r="F70" i="87" s="1"/>
  <c r="G64" i="87"/>
  <c r="G58" i="87"/>
  <c r="D65" i="87"/>
  <c r="D70" i="87" s="1"/>
  <c r="G63" i="87"/>
  <c r="G60" i="87"/>
  <c r="G59" i="87"/>
  <c r="G62" i="87"/>
  <c r="R46" i="87"/>
  <c r="R51" i="87" s="1"/>
  <c r="S44" i="87"/>
  <c r="S40" i="87"/>
  <c r="O46" i="87"/>
  <c r="O51" i="87" s="1"/>
  <c r="S43" i="87"/>
  <c r="S45" i="87"/>
  <c r="S39" i="87"/>
  <c r="Q46" i="87"/>
  <c r="Q51" i="87" s="1"/>
  <c r="G46" i="87"/>
  <c r="G51" i="87" s="1"/>
  <c r="D46" i="87"/>
  <c r="D51" i="87" s="1"/>
  <c r="E46" i="87"/>
  <c r="E51" i="87" s="1"/>
  <c r="H41" i="87"/>
  <c r="M25" i="87"/>
  <c r="M30" i="87" s="1"/>
  <c r="Q25" i="87"/>
  <c r="Q30" i="87" s="1"/>
  <c r="O25" i="87"/>
  <c r="O30" i="87" s="1"/>
  <c r="N25" i="87"/>
  <c r="N30" i="87" s="1"/>
  <c r="I25" i="87"/>
  <c r="I30" i="87" s="1"/>
  <c r="B25" i="87"/>
  <c r="B30" i="87" s="1"/>
  <c r="F25" i="87"/>
  <c r="F30" i="87" s="1"/>
  <c r="G25" i="87"/>
  <c r="G30" i="87" s="1"/>
  <c r="J25" i="87"/>
  <c r="J30" i="87" s="1"/>
  <c r="K25" i="87"/>
  <c r="K30" i="87" s="1"/>
  <c r="B65" i="87"/>
  <c r="N46" i="87"/>
  <c r="S46" i="87" l="1"/>
  <c r="N51" i="87"/>
  <c r="G65" i="87"/>
  <c r="B70" i="87"/>
  <c r="G66" i="87" l="1"/>
  <c r="G68" i="87"/>
  <c r="S49" i="87"/>
  <c r="S47" i="87"/>
  <c r="F59" i="1"/>
  <c r="F58" i="1"/>
  <c r="E69" i="1"/>
  <c r="F69" i="1"/>
  <c r="E68" i="1"/>
  <c r="F68" i="1"/>
  <c r="F60" i="1"/>
  <c r="F61" i="1"/>
  <c r="F62" i="1"/>
  <c r="F63" i="1"/>
  <c r="F64" i="1"/>
  <c r="R40" i="1"/>
  <c r="R41" i="1"/>
  <c r="R42" i="1"/>
  <c r="R43" i="1"/>
  <c r="R44" i="1"/>
  <c r="R45" i="1"/>
  <c r="R39" i="1"/>
  <c r="F65" i="1" l="1"/>
  <c r="F70" i="1" s="1"/>
  <c r="R46" i="1"/>
  <c r="R51" i="1" s="1"/>
  <c r="V27" i="1"/>
  <c r="B24" i="1"/>
  <c r="B23" i="1"/>
  <c r="B22" i="1"/>
  <c r="B21" i="1"/>
  <c r="B20" i="1"/>
  <c r="B19" i="1"/>
  <c r="B18" i="1"/>
  <c r="S18" i="1"/>
  <c r="Q39" i="1"/>
  <c r="R50" i="1"/>
  <c r="R49" i="1"/>
  <c r="B25" i="1" l="1"/>
  <c r="Q18" i="81"/>
  <c r="P18" i="81"/>
  <c r="E69" i="81" l="1"/>
  <c r="D69" i="81"/>
  <c r="C69" i="81"/>
  <c r="B69" i="81"/>
  <c r="E68" i="81"/>
  <c r="D68" i="81"/>
  <c r="C68" i="81"/>
  <c r="B68" i="81"/>
  <c r="G67" i="81"/>
  <c r="B64" i="81"/>
  <c r="B63" i="81"/>
  <c r="B62" i="81"/>
  <c r="G62" i="81" s="1"/>
  <c r="B61" i="81"/>
  <c r="B60" i="81"/>
  <c r="G60" i="81" s="1"/>
  <c r="B59" i="81"/>
  <c r="D70" i="81"/>
  <c r="B58" i="81"/>
  <c r="G58" i="81" s="1"/>
  <c r="Q50" i="81"/>
  <c r="P50" i="81"/>
  <c r="O50" i="81"/>
  <c r="N50" i="81"/>
  <c r="F50" i="81"/>
  <c r="E50" i="81"/>
  <c r="D50" i="81"/>
  <c r="C50" i="81"/>
  <c r="B50" i="81"/>
  <c r="Q49" i="81"/>
  <c r="P49" i="81"/>
  <c r="O49" i="81"/>
  <c r="N49" i="81"/>
  <c r="F49" i="81"/>
  <c r="E49" i="81"/>
  <c r="D49" i="81"/>
  <c r="C49" i="81"/>
  <c r="B49" i="81"/>
  <c r="S48" i="81"/>
  <c r="H48" i="81"/>
  <c r="N45" i="81"/>
  <c r="S45" i="81" s="1"/>
  <c r="F45" i="81"/>
  <c r="E45" i="81"/>
  <c r="D45" i="81"/>
  <c r="C45" i="81"/>
  <c r="B45" i="81"/>
  <c r="N44" i="81"/>
  <c r="F44" i="81"/>
  <c r="E44" i="81"/>
  <c r="D44" i="81"/>
  <c r="C44" i="81"/>
  <c r="B44" i="81"/>
  <c r="N43" i="81"/>
  <c r="S43" i="81" s="1"/>
  <c r="F43" i="81"/>
  <c r="E43" i="81"/>
  <c r="D43" i="81"/>
  <c r="C43" i="81"/>
  <c r="B43" i="81"/>
  <c r="N42" i="81"/>
  <c r="S42" i="81" s="1"/>
  <c r="F42" i="81"/>
  <c r="E42" i="81"/>
  <c r="D42" i="81"/>
  <c r="C42" i="81"/>
  <c r="B42" i="81"/>
  <c r="N41" i="81"/>
  <c r="S41" i="81" s="1"/>
  <c r="F41" i="81"/>
  <c r="E41" i="81"/>
  <c r="D41" i="81"/>
  <c r="C41" i="81"/>
  <c r="B41" i="81"/>
  <c r="N40" i="81"/>
  <c r="S40" i="81" s="1"/>
  <c r="F40" i="81"/>
  <c r="E40" i="81"/>
  <c r="D40" i="81"/>
  <c r="C40" i="81"/>
  <c r="B40" i="81"/>
  <c r="Q51" i="81"/>
  <c r="P51" i="81"/>
  <c r="O51" i="81"/>
  <c r="N39" i="81"/>
  <c r="F39" i="81"/>
  <c r="E39" i="81"/>
  <c r="D39" i="81"/>
  <c r="C39" i="81"/>
  <c r="B39" i="81"/>
  <c r="S29" i="81"/>
  <c r="R29" i="81"/>
  <c r="Q29" i="81"/>
  <c r="P29" i="81"/>
  <c r="N29" i="81"/>
  <c r="M29" i="81"/>
  <c r="L29" i="81"/>
  <c r="K29" i="81"/>
  <c r="J29" i="81"/>
  <c r="I29" i="81"/>
  <c r="H29" i="81"/>
  <c r="G29" i="81"/>
  <c r="F29" i="81"/>
  <c r="E29" i="81"/>
  <c r="D29" i="81"/>
  <c r="C29" i="81"/>
  <c r="B29" i="81"/>
  <c r="S28" i="81"/>
  <c r="R28" i="81"/>
  <c r="Q28" i="81"/>
  <c r="P28" i="81"/>
  <c r="N28" i="81"/>
  <c r="M28" i="81"/>
  <c r="L28" i="81"/>
  <c r="K28" i="81"/>
  <c r="J28" i="81"/>
  <c r="I28" i="81"/>
  <c r="H28" i="81"/>
  <c r="G28" i="81"/>
  <c r="F28" i="81"/>
  <c r="E28" i="81"/>
  <c r="D28" i="81"/>
  <c r="C28" i="81"/>
  <c r="B28" i="81"/>
  <c r="V27" i="81"/>
  <c r="S24" i="81"/>
  <c r="R24" i="81"/>
  <c r="Q24" i="81"/>
  <c r="P24" i="81"/>
  <c r="N24" i="81"/>
  <c r="M24" i="81"/>
  <c r="L24" i="81"/>
  <c r="K24" i="81"/>
  <c r="J24" i="81"/>
  <c r="I24" i="81"/>
  <c r="H24" i="81"/>
  <c r="G24" i="81"/>
  <c r="F24" i="81"/>
  <c r="E24" i="81"/>
  <c r="D24" i="81"/>
  <c r="C24" i="81"/>
  <c r="B24" i="81"/>
  <c r="S23" i="81"/>
  <c r="R23" i="81"/>
  <c r="Q23" i="81"/>
  <c r="P23" i="81"/>
  <c r="N23" i="81"/>
  <c r="M23" i="81"/>
  <c r="L23" i="81"/>
  <c r="K23" i="81"/>
  <c r="J23" i="81"/>
  <c r="I23" i="81"/>
  <c r="H23" i="81"/>
  <c r="G23" i="81"/>
  <c r="F23" i="81"/>
  <c r="E23" i="81"/>
  <c r="D23" i="81"/>
  <c r="C23" i="81"/>
  <c r="B23" i="81"/>
  <c r="S22" i="81"/>
  <c r="R22" i="81"/>
  <c r="Q22" i="81"/>
  <c r="P22" i="81"/>
  <c r="N22" i="81"/>
  <c r="M22" i="81"/>
  <c r="L22" i="81"/>
  <c r="K22" i="81"/>
  <c r="J22" i="81"/>
  <c r="I22" i="81"/>
  <c r="H22" i="81"/>
  <c r="G22" i="81"/>
  <c r="F22" i="81"/>
  <c r="E22" i="81"/>
  <c r="D22" i="81"/>
  <c r="C22" i="81"/>
  <c r="B22" i="81"/>
  <c r="S21" i="81"/>
  <c r="R21" i="81"/>
  <c r="Q21" i="81"/>
  <c r="P21" i="81"/>
  <c r="N21" i="81"/>
  <c r="M21" i="81"/>
  <c r="L21" i="81"/>
  <c r="K21" i="81"/>
  <c r="J21" i="81"/>
  <c r="I21" i="81"/>
  <c r="H21" i="81"/>
  <c r="G21" i="81"/>
  <c r="F21" i="81"/>
  <c r="E21" i="81"/>
  <c r="D21" i="81"/>
  <c r="C21" i="81"/>
  <c r="B21" i="81"/>
  <c r="S20" i="81"/>
  <c r="R20" i="81"/>
  <c r="Q20" i="81"/>
  <c r="P20" i="81"/>
  <c r="N20" i="81"/>
  <c r="M20" i="81"/>
  <c r="L20" i="81"/>
  <c r="K20" i="81"/>
  <c r="J20" i="81"/>
  <c r="I20" i="81"/>
  <c r="H20" i="81"/>
  <c r="G20" i="81"/>
  <c r="F20" i="81"/>
  <c r="E20" i="81"/>
  <c r="D20" i="81"/>
  <c r="C20" i="81"/>
  <c r="B20" i="81"/>
  <c r="S19" i="81"/>
  <c r="R19" i="81"/>
  <c r="Q19" i="81"/>
  <c r="P19" i="81"/>
  <c r="N19" i="81"/>
  <c r="M19" i="81"/>
  <c r="L19" i="81"/>
  <c r="K19" i="81"/>
  <c r="J19" i="81"/>
  <c r="I19" i="81"/>
  <c r="H19" i="81"/>
  <c r="G19" i="81"/>
  <c r="F19" i="81"/>
  <c r="E19" i="81"/>
  <c r="D19" i="81"/>
  <c r="C19" i="81"/>
  <c r="B19" i="81"/>
  <c r="S18" i="81"/>
  <c r="R18" i="81"/>
  <c r="N18" i="81"/>
  <c r="M18" i="81"/>
  <c r="L18" i="81"/>
  <c r="K18" i="81"/>
  <c r="J18" i="81"/>
  <c r="I18" i="81"/>
  <c r="H18" i="81"/>
  <c r="G18" i="81"/>
  <c r="F18" i="81"/>
  <c r="E18" i="81"/>
  <c r="D18" i="81"/>
  <c r="C18" i="81"/>
  <c r="B18" i="81"/>
  <c r="N46" i="81" l="1"/>
  <c r="S46" i="81" s="1"/>
  <c r="H40" i="81"/>
  <c r="H42" i="81"/>
  <c r="H44" i="81"/>
  <c r="E46" i="81"/>
  <c r="E51" i="81" s="1"/>
  <c r="Q25" i="81"/>
  <c r="Q30" i="81" s="1"/>
  <c r="P25" i="81"/>
  <c r="P30" i="81" s="1"/>
  <c r="I25" i="81"/>
  <c r="I30" i="81" s="1"/>
  <c r="R25" i="81"/>
  <c r="R30" i="81" s="1"/>
  <c r="S25" i="81"/>
  <c r="S30" i="81" s="1"/>
  <c r="L25" i="81"/>
  <c r="L30" i="81" s="1"/>
  <c r="K25" i="81"/>
  <c r="K30" i="81" s="1"/>
  <c r="M25" i="81"/>
  <c r="M30" i="81" s="1"/>
  <c r="N25" i="81"/>
  <c r="N30" i="81" s="1"/>
  <c r="G64" i="81"/>
  <c r="E70" i="81"/>
  <c r="G61" i="81"/>
  <c r="G63" i="81"/>
  <c r="C70" i="81"/>
  <c r="G59" i="81"/>
  <c r="S44" i="81"/>
  <c r="B46" i="81"/>
  <c r="B51" i="81" s="1"/>
  <c r="H45" i="81"/>
  <c r="C46" i="81"/>
  <c r="C51" i="81" s="1"/>
  <c r="F46" i="81"/>
  <c r="F51" i="81" s="1"/>
  <c r="D46" i="81"/>
  <c r="D51" i="81" s="1"/>
  <c r="H43" i="81"/>
  <c r="H41" i="81"/>
  <c r="D25" i="81"/>
  <c r="D30" i="81" s="1"/>
  <c r="V19" i="81"/>
  <c r="V20" i="81"/>
  <c r="B25" i="81"/>
  <c r="B30" i="81" s="1"/>
  <c r="J25" i="81"/>
  <c r="J30" i="81" s="1"/>
  <c r="F25" i="81"/>
  <c r="F30" i="81" s="1"/>
  <c r="V18" i="81"/>
  <c r="E25" i="81"/>
  <c r="E30" i="81" s="1"/>
  <c r="V22" i="81"/>
  <c r="H25" i="81"/>
  <c r="H30" i="81" s="1"/>
  <c r="G25" i="81"/>
  <c r="G30" i="81" s="1"/>
  <c r="V23" i="81"/>
  <c r="V24" i="81"/>
  <c r="C25" i="81"/>
  <c r="C30" i="81" s="1"/>
  <c r="S39" i="81"/>
  <c r="V21" i="81"/>
  <c r="B65" i="81"/>
  <c r="H39" i="81"/>
  <c r="N51" i="81" l="1"/>
  <c r="H46" i="81"/>
  <c r="H47" i="81" s="1"/>
  <c r="V25" i="81"/>
  <c r="S49" i="81"/>
  <c r="S47" i="81"/>
  <c r="B70" i="81"/>
  <c r="G65" i="81"/>
  <c r="H49" i="81" l="1"/>
  <c r="W27" i="81"/>
  <c r="V26" i="81"/>
  <c r="G68" i="81"/>
  <c r="G66" i="81"/>
  <c r="G50" i="1" l="1"/>
  <c r="G49" i="1"/>
  <c r="G45" i="1"/>
  <c r="G44" i="1"/>
  <c r="G43" i="1"/>
  <c r="G42" i="1"/>
  <c r="G41" i="1"/>
  <c r="G40" i="1"/>
  <c r="G39" i="1"/>
  <c r="Q24" i="1"/>
  <c r="R24" i="1"/>
  <c r="S24" i="1"/>
  <c r="P24" i="1"/>
  <c r="Q23" i="1"/>
  <c r="R23" i="1"/>
  <c r="S23" i="1"/>
  <c r="P23" i="1"/>
  <c r="Q22" i="1"/>
  <c r="R22" i="1"/>
  <c r="S22" i="1"/>
  <c r="P22" i="1"/>
  <c r="Q21" i="1"/>
  <c r="R21" i="1"/>
  <c r="S21" i="1"/>
  <c r="P21" i="1"/>
  <c r="Q20" i="1"/>
  <c r="R20" i="1"/>
  <c r="S20" i="1"/>
  <c r="P20" i="1"/>
  <c r="Q19" i="1"/>
  <c r="R19" i="1"/>
  <c r="S19" i="1"/>
  <c r="P19" i="1"/>
  <c r="Q18" i="1"/>
  <c r="R18" i="1"/>
  <c r="P18" i="1"/>
  <c r="O28" i="1"/>
  <c r="O24" i="1"/>
  <c r="O23" i="1"/>
  <c r="O22" i="1"/>
  <c r="O21" i="1"/>
  <c r="O20" i="1"/>
  <c r="O19" i="1"/>
  <c r="O18" i="1"/>
  <c r="J29" i="1"/>
  <c r="J28" i="1"/>
  <c r="L24" i="1"/>
  <c r="M24" i="1"/>
  <c r="N24" i="1"/>
  <c r="K24" i="1"/>
  <c r="L23" i="1"/>
  <c r="M23" i="1"/>
  <c r="N23" i="1"/>
  <c r="K23" i="1"/>
  <c r="L22" i="1"/>
  <c r="M22" i="1"/>
  <c r="N22" i="1"/>
  <c r="K22" i="1"/>
  <c r="L21" i="1"/>
  <c r="M21" i="1"/>
  <c r="N21" i="1"/>
  <c r="K21" i="1"/>
  <c r="L20" i="1"/>
  <c r="M20" i="1"/>
  <c r="N20" i="1"/>
  <c r="K20" i="1"/>
  <c r="K19" i="1"/>
  <c r="L19" i="1"/>
  <c r="M19" i="1"/>
  <c r="N19" i="1"/>
  <c r="K18" i="1"/>
  <c r="L18" i="1"/>
  <c r="M18" i="1"/>
  <c r="N18" i="1"/>
  <c r="C24" i="1"/>
  <c r="D24" i="1"/>
  <c r="E24" i="1"/>
  <c r="F24" i="1"/>
  <c r="G24" i="1"/>
  <c r="H24" i="1"/>
  <c r="I24" i="1"/>
  <c r="J24" i="1"/>
  <c r="C23" i="1"/>
  <c r="D23" i="1"/>
  <c r="E23" i="1"/>
  <c r="F23" i="1"/>
  <c r="G23" i="1"/>
  <c r="H23" i="1"/>
  <c r="I23" i="1"/>
  <c r="J23" i="1"/>
  <c r="J22" i="1"/>
  <c r="C22" i="1"/>
  <c r="D22" i="1"/>
  <c r="E22" i="1"/>
  <c r="F22" i="1"/>
  <c r="G22" i="1"/>
  <c r="H22" i="1"/>
  <c r="I22" i="1"/>
  <c r="J21" i="1"/>
  <c r="C21" i="1"/>
  <c r="D21" i="1"/>
  <c r="E21" i="1"/>
  <c r="F21" i="1"/>
  <c r="G21" i="1"/>
  <c r="H21" i="1"/>
  <c r="I21" i="1"/>
  <c r="C20" i="1"/>
  <c r="D20" i="1"/>
  <c r="E20" i="1"/>
  <c r="F20" i="1"/>
  <c r="G20" i="1"/>
  <c r="H20" i="1"/>
  <c r="I20" i="1"/>
  <c r="J20" i="1"/>
  <c r="C19" i="1"/>
  <c r="D19" i="1"/>
  <c r="E19" i="1"/>
  <c r="F19" i="1"/>
  <c r="G19" i="1"/>
  <c r="H19" i="1"/>
  <c r="I19" i="1"/>
  <c r="J19" i="1"/>
  <c r="J18" i="1"/>
  <c r="E18" i="1"/>
  <c r="F18" i="1"/>
  <c r="G18" i="1"/>
  <c r="H18" i="1"/>
  <c r="I18" i="1"/>
  <c r="D18" i="1"/>
  <c r="C18" i="1"/>
  <c r="C28" i="1"/>
  <c r="D28" i="1"/>
  <c r="E28" i="1"/>
  <c r="F28" i="1"/>
  <c r="G28" i="1"/>
  <c r="H28" i="1"/>
  <c r="I28" i="1"/>
  <c r="C29" i="1"/>
  <c r="D29" i="1"/>
  <c r="E29" i="1"/>
  <c r="F29" i="1"/>
  <c r="G29" i="1"/>
  <c r="H29" i="1"/>
  <c r="I29" i="1"/>
  <c r="V23" i="1" l="1"/>
  <c r="R25" i="1"/>
  <c r="V20" i="1"/>
  <c r="D25" i="1"/>
  <c r="D30" i="1" s="1"/>
  <c r="V19" i="1"/>
  <c r="E25" i="1"/>
  <c r="E30" i="1" s="1"/>
  <c r="J25" i="1"/>
  <c r="J30" i="1" s="1"/>
  <c r="V24" i="1"/>
  <c r="M25" i="1"/>
  <c r="Q25" i="1"/>
  <c r="H25" i="1"/>
  <c r="H30" i="1" s="1"/>
  <c r="G46" i="1"/>
  <c r="G51" i="1" s="1"/>
  <c r="N25" i="1"/>
  <c r="L25" i="1"/>
  <c r="I25" i="1"/>
  <c r="I30" i="1" s="1"/>
  <c r="C25" i="1"/>
  <c r="C30" i="1" s="1"/>
  <c r="V18" i="1"/>
  <c r="K25" i="1"/>
  <c r="F25" i="1"/>
  <c r="F30" i="1" s="1"/>
  <c r="V21" i="1"/>
  <c r="V22" i="1"/>
  <c r="O25" i="1"/>
  <c r="O30" i="1" s="1"/>
  <c r="S25" i="1"/>
  <c r="G25" i="1"/>
  <c r="G30" i="1" s="1"/>
  <c r="V25" i="1" l="1"/>
  <c r="D44" i="1" l="1"/>
  <c r="B43" i="1"/>
  <c r="F40" i="1"/>
  <c r="F41" i="1"/>
  <c r="F42" i="1"/>
  <c r="F43" i="1"/>
  <c r="F44" i="1"/>
  <c r="F45" i="1"/>
  <c r="F39" i="1"/>
  <c r="F50" i="1"/>
  <c r="F49" i="1"/>
  <c r="E42" i="1"/>
  <c r="F46" i="1" l="1"/>
  <c r="F51" i="1" s="1"/>
  <c r="K29" i="1" l="1"/>
  <c r="L29" i="1"/>
  <c r="M29" i="1"/>
  <c r="N29" i="1"/>
  <c r="O29" i="1"/>
  <c r="P29" i="1"/>
  <c r="Q29" i="1"/>
  <c r="R29" i="1"/>
  <c r="S29" i="1"/>
  <c r="K28" i="1"/>
  <c r="L28" i="1"/>
  <c r="M28" i="1"/>
  <c r="N28" i="1"/>
  <c r="P28" i="1"/>
  <c r="Q28" i="1"/>
  <c r="R28" i="1"/>
  <c r="S28" i="1"/>
  <c r="B28" i="1"/>
  <c r="Q50" i="1"/>
  <c r="G67" i="1"/>
  <c r="H48" i="1"/>
  <c r="S48" i="1"/>
  <c r="E59" i="1"/>
  <c r="E60" i="1"/>
  <c r="E61" i="1"/>
  <c r="E62" i="1"/>
  <c r="E63" i="1"/>
  <c r="E64" i="1"/>
  <c r="E58" i="1"/>
  <c r="C59" i="1"/>
  <c r="C60" i="1"/>
  <c r="C61" i="1"/>
  <c r="C62" i="1"/>
  <c r="C63" i="1"/>
  <c r="C64" i="1"/>
  <c r="C58" i="1"/>
  <c r="D61" i="1"/>
  <c r="D60" i="1"/>
  <c r="D59" i="1"/>
  <c r="D62" i="1"/>
  <c r="D63" i="1"/>
  <c r="D64" i="1"/>
  <c r="D58" i="1"/>
  <c r="B60" i="1"/>
  <c r="B59" i="1"/>
  <c r="B61" i="1"/>
  <c r="B62" i="1"/>
  <c r="B63" i="1"/>
  <c r="B64" i="1"/>
  <c r="B58" i="1"/>
  <c r="Q40" i="1"/>
  <c r="Q41" i="1"/>
  <c r="Q42" i="1"/>
  <c r="Q43" i="1"/>
  <c r="Q44" i="1"/>
  <c r="Q45" i="1"/>
  <c r="P40" i="1"/>
  <c r="P41" i="1"/>
  <c r="P42" i="1"/>
  <c r="P43" i="1"/>
  <c r="P44" i="1"/>
  <c r="P45" i="1"/>
  <c r="P39" i="1"/>
  <c r="O40" i="1"/>
  <c r="O41" i="1"/>
  <c r="O42" i="1"/>
  <c r="O43" i="1"/>
  <c r="O44" i="1"/>
  <c r="O45" i="1"/>
  <c r="O39" i="1"/>
  <c r="N40" i="1"/>
  <c r="N41" i="1"/>
  <c r="N42" i="1"/>
  <c r="N43" i="1"/>
  <c r="N44" i="1"/>
  <c r="N45" i="1"/>
  <c r="N39" i="1"/>
  <c r="E40" i="1"/>
  <c r="E41" i="1"/>
  <c r="E43" i="1"/>
  <c r="E44" i="1"/>
  <c r="E45" i="1"/>
  <c r="E39" i="1"/>
  <c r="D40" i="1"/>
  <c r="D41" i="1"/>
  <c r="D42" i="1"/>
  <c r="D43" i="1"/>
  <c r="D45" i="1"/>
  <c r="D39" i="1"/>
  <c r="C40" i="1"/>
  <c r="C41" i="1"/>
  <c r="C42" i="1"/>
  <c r="C43" i="1"/>
  <c r="C44" i="1"/>
  <c r="C45" i="1"/>
  <c r="C39" i="1"/>
  <c r="B44" i="1"/>
  <c r="B45" i="1"/>
  <c r="B42" i="1"/>
  <c r="B41" i="1"/>
  <c r="B40" i="1"/>
  <c r="B39" i="1"/>
  <c r="H39" i="1" l="1"/>
  <c r="H45" i="1"/>
  <c r="E46" i="1"/>
  <c r="B29" i="1"/>
  <c r="R30" i="1" l="1"/>
  <c r="S30" i="1"/>
  <c r="Q30" i="1"/>
  <c r="P25" i="1"/>
  <c r="P30" i="1" s="1"/>
  <c r="L30" i="1"/>
  <c r="K30" i="1"/>
  <c r="M30" i="1"/>
  <c r="N30" i="1"/>
  <c r="Q46" i="1" l="1"/>
  <c r="Q51" i="1" s="1"/>
  <c r="P46" i="1"/>
  <c r="P51" i="1" s="1"/>
  <c r="O46" i="1"/>
  <c r="O51" i="1" s="1"/>
  <c r="E51" i="1"/>
  <c r="D46" i="1"/>
  <c r="D51" i="1" s="1"/>
  <c r="C46" i="1"/>
  <c r="C51" i="1" s="1"/>
  <c r="Q49" i="1"/>
  <c r="N46" i="1"/>
  <c r="N51" i="1" s="1"/>
  <c r="E65" i="1"/>
  <c r="E70" i="1" s="1"/>
  <c r="D69" i="1"/>
  <c r="C69" i="1"/>
  <c r="B69" i="1"/>
  <c r="D68" i="1"/>
  <c r="C68" i="1"/>
  <c r="B68" i="1"/>
  <c r="G63" i="1"/>
  <c r="G62" i="1"/>
  <c r="G60" i="1"/>
  <c r="G58" i="1"/>
  <c r="P50" i="1"/>
  <c r="O50" i="1"/>
  <c r="N50" i="1"/>
  <c r="E50" i="1"/>
  <c r="D50" i="1"/>
  <c r="C50" i="1"/>
  <c r="B50" i="1"/>
  <c r="P49" i="1"/>
  <c r="O49" i="1"/>
  <c r="N49" i="1"/>
  <c r="E49" i="1"/>
  <c r="D49" i="1"/>
  <c r="C49" i="1"/>
  <c r="B49" i="1"/>
  <c r="H40" i="1"/>
  <c r="G64" i="1"/>
  <c r="G59" i="1"/>
  <c r="H44" i="1"/>
  <c r="C65" i="1"/>
  <c r="C70" i="1" s="1"/>
  <c r="S42" i="1"/>
  <c r="S43" i="1"/>
  <c r="D65" i="1"/>
  <c r="D70" i="1" s="1"/>
  <c r="S44" i="1"/>
  <c r="S39" i="1"/>
  <c r="S41" i="1"/>
  <c r="G61" i="1"/>
  <c r="B65" i="1"/>
  <c r="B70" i="1" s="1"/>
  <c r="H43" i="1"/>
  <c r="H41" i="1"/>
  <c r="S40" i="1"/>
  <c r="B30" i="1" l="1"/>
  <c r="S45" i="1"/>
  <c r="S46" i="1"/>
  <c r="S47" i="1" s="1"/>
  <c r="G65" i="1"/>
  <c r="G66" i="1" s="1"/>
  <c r="S49" i="1" l="1"/>
  <c r="G68" i="1"/>
  <c r="H42" i="1" l="1"/>
  <c r="B46" i="1"/>
  <c r="H46" i="1" l="1"/>
  <c r="H47" i="1" s="1"/>
  <c r="B51" i="1"/>
  <c r="H49" i="1" l="1"/>
  <c r="V26" i="1"/>
  <c r="W27" i="1"/>
  <c r="C25" i="87"/>
  <c r="C30" i="87" s="1"/>
  <c r="E25" i="87"/>
  <c r="E30" i="87" s="1"/>
  <c r="H25" i="87"/>
  <c r="H30" i="87" s="1"/>
  <c r="P25" i="87"/>
  <c r="P30" i="87" s="1"/>
  <c r="R25" i="87"/>
  <c r="R30" i="87" s="1"/>
  <c r="V23" i="87"/>
  <c r="V24" i="87"/>
  <c r="V22" i="87"/>
  <c r="S25" i="87"/>
  <c r="S30" i="87" s="1"/>
  <c r="V25" i="87" l="1"/>
  <c r="V26" i="87" s="1"/>
  <c r="C46" i="87"/>
  <c r="C51" i="87" s="1"/>
  <c r="H45" i="87"/>
  <c r="H43" i="87"/>
  <c r="H44" i="87"/>
  <c r="F46" i="87"/>
  <c r="F51" i="87" s="1"/>
  <c r="H46" i="87" l="1"/>
  <c r="H49" i="87" s="1"/>
  <c r="W27" i="87"/>
  <c r="H47" i="87" l="1"/>
  <c r="P25" i="91"/>
  <c r="P30" i="91" s="1"/>
  <c r="S25" i="91"/>
  <c r="S30" i="91" s="1"/>
  <c r="Y24" i="91"/>
  <c r="Y25" i="91" s="1"/>
  <c r="Y26" i="91" l="1"/>
  <c r="Z27" i="91"/>
  <c r="O25" i="95" l="1"/>
  <c r="O30" i="95" s="1"/>
  <c r="P25" i="95"/>
  <c r="P30" i="95" s="1"/>
  <c r="V25" i="95"/>
  <c r="V30" i="95" s="1"/>
  <c r="Y23" i="95"/>
  <c r="W25" i="95"/>
  <c r="W30" i="95" s="1"/>
  <c r="Y24" i="95"/>
  <c r="Y25" i="95" l="1"/>
  <c r="Y26" i="95" s="1"/>
  <c r="F46" i="95"/>
  <c r="F51" i="95" s="1"/>
  <c r="I44" i="95"/>
  <c r="I45" i="95"/>
  <c r="H46" i="95"/>
  <c r="I46" i="95" l="1"/>
  <c r="I49" i="95" s="1"/>
  <c r="H51" i="95"/>
  <c r="V44" i="95"/>
  <c r="V43" i="95"/>
  <c r="R46" i="95"/>
  <c r="V46" i="95" s="1"/>
  <c r="V47" i="95" s="1"/>
  <c r="I47" i="95" l="1"/>
  <c r="R51" i="95"/>
  <c r="V49" i="95"/>
  <c r="G62" i="95"/>
  <c r="G63" i="95"/>
  <c r="B65" i="95"/>
  <c r="B70" i="95" s="1"/>
  <c r="G64" i="95"/>
  <c r="G65" i="95" l="1"/>
  <c r="G68" i="95" s="1"/>
  <c r="G66" i="95" l="1"/>
  <c r="Y24" i="99"/>
  <c r="Y25" i="99" s="1"/>
  <c r="P25" i="99"/>
  <c r="P30" i="99" s="1"/>
  <c r="G64" i="99"/>
  <c r="F65" i="99"/>
  <c r="G65" i="99" l="1"/>
  <c r="G66" i="99" s="1"/>
  <c r="F70" i="99"/>
  <c r="Y26" i="99"/>
  <c r="Y28" i="99"/>
  <c r="E25" i="100"/>
  <c r="E30" i="100" s="1"/>
  <c r="G25" i="100"/>
  <c r="G30" i="100" s="1"/>
  <c r="N25" i="100"/>
  <c r="N30" i="100" s="1"/>
  <c r="Y24" i="100"/>
  <c r="O25" i="100"/>
  <c r="O30" i="100" s="1"/>
  <c r="Y23" i="100"/>
  <c r="G68" i="99" l="1"/>
  <c r="Y25" i="100"/>
  <c r="Y28" i="100" s="1"/>
  <c r="Y26" i="100" l="1"/>
  <c r="E46" i="100"/>
  <c r="E51" i="100" s="1"/>
  <c r="I44" i="100"/>
  <c r="H46" i="100"/>
  <c r="H51" i="100" s="1"/>
  <c r="I45" i="100"/>
  <c r="I46" i="100" l="1"/>
  <c r="I47" i="100" l="1"/>
  <c r="I49" i="100"/>
  <c r="T44" i="100"/>
  <c r="T45" i="100"/>
  <c r="R46" i="100"/>
  <c r="R51" i="100" s="1"/>
  <c r="T46" i="100" l="1"/>
  <c r="T47" i="100" l="1"/>
  <c r="T49" i="100"/>
  <c r="G64" i="100" l="1"/>
  <c r="G63" i="100"/>
  <c r="C65" i="100"/>
  <c r="G65" i="100" s="1"/>
  <c r="G66" i="100" l="1"/>
  <c r="G68" i="100"/>
  <c r="C70" i="100"/>
  <c r="I25" i="101" l="1"/>
  <c r="I30" i="101" s="1"/>
  <c r="M25" i="101"/>
  <c r="M30" i="101" s="1"/>
  <c r="O25" i="101"/>
  <c r="O30" i="101" s="1"/>
  <c r="Y24" i="101"/>
  <c r="Y23" i="101"/>
  <c r="P25" i="101"/>
  <c r="P30" i="101" s="1"/>
  <c r="Y25" i="101" l="1"/>
  <c r="Y26" i="101" s="1"/>
  <c r="Y28" i="101" l="1"/>
  <c r="D46" i="101"/>
  <c r="D51" i="101" s="1"/>
  <c r="I44" i="101"/>
  <c r="I45" i="101"/>
  <c r="E46" i="101"/>
  <c r="E51" i="101" s="1"/>
  <c r="I46" i="101" l="1"/>
  <c r="I47" i="101" l="1"/>
  <c r="I49" i="101"/>
  <c r="Q46" i="101"/>
  <c r="Q51" i="101" l="1"/>
  <c r="T45" i="101"/>
  <c r="T44" i="101"/>
  <c r="S46" i="101"/>
  <c r="S51" i="101" s="1"/>
  <c r="T46" i="101" l="1"/>
  <c r="T49" i="101" l="1"/>
  <c r="T47" i="101"/>
  <c r="B65" i="101"/>
  <c r="B70" i="101" s="1"/>
  <c r="G63" i="101"/>
  <c r="G64" i="101"/>
  <c r="D65" i="101"/>
  <c r="D70" i="101" s="1"/>
  <c r="G65" i="101" l="1"/>
  <c r="G68" i="101" s="1"/>
  <c r="B46" i="103"/>
  <c r="B51" i="103" s="1"/>
  <c r="E46" i="103"/>
  <c r="G66" i="101" l="1"/>
  <c r="E51" i="103"/>
  <c r="G46" i="103"/>
  <c r="G51" i="103" s="1"/>
  <c r="H46" i="103"/>
  <c r="H51" i="103" s="1"/>
  <c r="J43" i="103"/>
  <c r="J44" i="103"/>
  <c r="I46" i="103"/>
  <c r="J46" i="103" l="1"/>
  <c r="J47" i="103" s="1"/>
  <c r="I51" i="103"/>
  <c r="S46" i="103"/>
  <c r="U46" i="103" s="1"/>
  <c r="J49" i="103" l="1"/>
  <c r="S51" i="103"/>
  <c r="U49" i="103"/>
  <c r="U47" i="103"/>
  <c r="X23" i="103" l="1"/>
  <c r="X24" i="103" l="1"/>
  <c r="X25" i="103" s="1"/>
  <c r="X26" i="103" l="1"/>
  <c r="X28" i="103"/>
  <c r="H66" i="103" l="1"/>
  <c r="H68" i="103" l="1"/>
  <c r="U45" i="104"/>
  <c r="U44" i="104"/>
  <c r="Q46" i="104"/>
  <c r="U46" i="104" s="1"/>
  <c r="U47" i="104" l="1"/>
  <c r="U49" i="104"/>
  <c r="Q51" i="104"/>
  <c r="H63" i="104"/>
  <c r="H65" i="104" s="1"/>
  <c r="H66" i="104" s="1"/>
  <c r="H68" i="104" l="1"/>
  <c r="F45" i="184"/>
  <c r="F46" i="184" s="1"/>
  <c r="B45" i="184"/>
  <c r="B46" i="184" s="1"/>
  <c r="C45" i="184"/>
  <c r="C46" i="184" s="1"/>
  <c r="E45" i="184"/>
  <c r="E46" i="184" s="1"/>
  <c r="G45" i="184"/>
  <c r="G46" i="184" s="1"/>
  <c r="D46" i="184"/>
</calcChain>
</file>

<file path=xl/sharedStrings.xml><?xml version="1.0" encoding="utf-8"?>
<sst xmlns="http://schemas.openxmlformats.org/spreadsheetml/2006/main" count="7129" uniqueCount="137">
  <si>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</si>
  <si>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</si>
  <si>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</si>
  <si>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</si>
  <si>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</si>
  <si>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</si>
  <si>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</si>
  <si>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</si>
  <si>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</si>
  <si>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</si>
  <si>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</si>
  <si>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</si>
  <si>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</si>
  <si>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</si>
  <si>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</si>
  <si>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</si>
  <si>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</si>
  <si>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</si>
  <si>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</si>
  <si>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</si>
  <si>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</si>
  <si>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</si>
  <si>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</si>
  <si>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</si>
  <si>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</si>
  <si>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</si>
  <si>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</si>
  <si>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</si>
  <si>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</si>
  <si>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</si>
  <si>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</si>
  <si>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CASETA E</t>
  </si>
  <si>
    <t>MIÉRCOLES</t>
  </si>
  <si>
    <t xml:space="preserve">RANGO </t>
  </si>
  <si>
    <t>RANGO</t>
  </si>
  <si>
    <t>F611- M612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</si>
  <si>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</si>
  <si>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</si>
  <si>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</si>
  <si>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</si>
  <si>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</si>
  <si>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</si>
  <si>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</si>
  <si>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</si>
  <si>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</si>
  <si>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</si>
  <si>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</si>
  <si>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CEPA 9</t>
  </si>
  <si>
    <t>CORRAL</t>
  </si>
  <si>
    <t>CEPA 1</t>
  </si>
  <si>
    <t>SALDO AVES</t>
  </si>
  <si>
    <t>MIERCOLES</t>
  </si>
  <si>
    <t>SEMANA 2</t>
  </si>
  <si>
    <t>SEMANA 3</t>
  </si>
  <si>
    <t>F613 - M614</t>
  </si>
  <si>
    <t>F613- M614</t>
  </si>
  <si>
    <t>SEMANA 4</t>
  </si>
  <si>
    <t>SEMANA 5</t>
  </si>
  <si>
    <t>SEMANA 7</t>
  </si>
  <si>
    <t>SEMANA 6</t>
  </si>
  <si>
    <t>SEMANA 9</t>
  </si>
  <si>
    <t>SEMANA 10</t>
  </si>
  <si>
    <t>Descartes</t>
  </si>
  <si>
    <t>CASETA A2</t>
  </si>
  <si>
    <t>SEMANA 11</t>
  </si>
  <si>
    <t>CASETA A1</t>
  </si>
  <si>
    <t>SEMANA 12</t>
  </si>
  <si>
    <t>SEMANA 13</t>
  </si>
  <si>
    <t>SEMANA 14</t>
  </si>
  <si>
    <t>DESC</t>
  </si>
  <si>
    <t>DESCA</t>
  </si>
  <si>
    <t>GRAIDING 27/06/2024</t>
  </si>
  <si>
    <t>graiding 28/06</t>
  </si>
  <si>
    <t>GRAIDING 29/06</t>
  </si>
  <si>
    <t>SEMANA 15</t>
  </si>
  <si>
    <t>SEMANA 16</t>
  </si>
  <si>
    <t>SEMANA 17</t>
  </si>
  <si>
    <t>SEMANA 18</t>
  </si>
  <si>
    <t>SEMANA 19</t>
  </si>
  <si>
    <t>Se retiran aves de los corrales resaltados y se colocan en un corral como errores de sexaje</t>
  </si>
  <si>
    <t>se descartan 12 aves de estos corrales</t>
  </si>
  <si>
    <t>Errores</t>
  </si>
  <si>
    <t>Se realiza graiding a la caseta 8 y 9  de la caseta B</t>
  </si>
  <si>
    <t>Corral 9</t>
  </si>
  <si>
    <t>2040 &gt;</t>
  </si>
  <si>
    <t>corral 8</t>
  </si>
  <si>
    <t>&lt; 2030</t>
  </si>
  <si>
    <t xml:space="preserve">Pesos Rangos </t>
  </si>
  <si>
    <t>SEMANA 20</t>
  </si>
  <si>
    <t>Corroborar que los saldos esten bien</t>
  </si>
  <si>
    <t>Mucho incremento</t>
  </si>
  <si>
    <t>Quito comida</t>
  </si>
  <si>
    <t>Se realiza Manejo de uniformidades</t>
  </si>
  <si>
    <t>&lt;2150</t>
  </si>
  <si>
    <t>2160&gt;</t>
  </si>
  <si>
    <t>&lt;2020</t>
  </si>
  <si>
    <t>2030-2220</t>
  </si>
  <si>
    <t>2230&gt;</t>
  </si>
  <si>
    <t>Se realiza manejo de uniformidades</t>
  </si>
  <si>
    <t>&lt;2170</t>
  </si>
  <si>
    <t>2180&gt;</t>
  </si>
  <si>
    <t>&lt;2320</t>
  </si>
  <si>
    <t>2330&gt;</t>
  </si>
  <si>
    <t>2480&gt;</t>
  </si>
  <si>
    <t>&lt;2470</t>
  </si>
  <si>
    <t>2300&gt;</t>
  </si>
  <si>
    <t>&lt;2290</t>
  </si>
  <si>
    <t>&lt;2480</t>
  </si>
  <si>
    <t>2490&gt;</t>
  </si>
  <si>
    <t>&lt;2550</t>
  </si>
  <si>
    <t>2560&gt;</t>
  </si>
  <si>
    <t>Se retiran errores y se trasladan al corrar correspondiente</t>
  </si>
  <si>
    <t>CORRAL 5 ELIMINADO</t>
  </si>
  <si>
    <t>CASETA A Extractores</t>
  </si>
  <si>
    <t>total</t>
  </si>
  <si>
    <t>Nada que hacer</t>
  </si>
  <si>
    <t>F1LH-F2LM-MACHOS</t>
  </si>
  <si>
    <t>JUE</t>
  </si>
  <si>
    <t>LUN</t>
  </si>
  <si>
    <t>MAR</t>
  </si>
  <si>
    <t>MIER</t>
  </si>
  <si>
    <t>VIER</t>
  </si>
  <si>
    <t>SAB</t>
  </si>
  <si>
    <t>DON</t>
  </si>
  <si>
    <t>El modulo alimento el dia con este valor</t>
  </si>
  <si>
    <t>29/02/2025</t>
  </si>
  <si>
    <t>DESC A</t>
  </si>
  <si>
    <t>DESC B</t>
  </si>
  <si>
    <t>M614</t>
  </si>
  <si>
    <t>F613</t>
  </si>
  <si>
    <t>Leyenda</t>
  </si>
  <si>
    <t>Bloqueado</t>
  </si>
  <si>
    <t>|</t>
  </si>
  <si>
    <t xml:space="preserve"> </t>
  </si>
  <si>
    <t>PROGRAMAR</t>
  </si>
  <si>
    <t>Version</t>
  </si>
  <si>
    <t>Ult. Dia sem. 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</si>
</sst>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"/>
    <numFmt numFmtId="165" formatCode="#,##0.0"/>
  </numFmts>
  <fonts count="69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sz val="28"/>
      <color rgb="FFFF0000"/>
      <name val="Arial"/>
      <family val="2"/>
    </font>
    <font>
      <sz val="2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u/>
      <sz val="24"/>
      <name val="Arial"/>
      <family val="2"/>
    </font>
    <font>
      <sz val="16"/>
      <color theme="1"/>
      <name val="Calibri"/>
      <family val="2"/>
      <scheme val="minor"/>
    </font>
    <font>
      <sz val="26"/>
      <color rgb="FF003366"/>
      <name val="Arial"/>
      <family val="2"/>
    </font>
    <font>
      <b/>
      <sz val="26"/>
      <color theme="1"/>
      <name val="Calibri Light"/>
      <family val="2"/>
      <scheme val="major"/>
    </font>
    <font>
      <b/>
      <u/>
      <sz val="26"/>
      <name val="Calibri Light"/>
      <family val="2"/>
      <scheme val="major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u/>
      <sz val="28"/>
      <color theme="1"/>
      <name val="Arial"/>
      <family val="2"/>
    </font>
    <font>
      <b/>
      <sz val="28"/>
      <color theme="7" tint="-0.499984740745262"/>
      <name val="Arial"/>
      <family val="2"/>
    </font>
    <font>
      <b/>
      <sz val="28"/>
      <color theme="7" tint="0.79998168889431442"/>
      <name val="Arial"/>
      <family val="2"/>
    </font>
    <font>
      <b/>
      <sz val="28"/>
      <name val="Arial"/>
      <family val="2"/>
    </font>
    <font>
      <b/>
      <sz val="30"/>
      <name val="Arial"/>
      <family val="2"/>
    </font>
    <font>
      <b/>
      <sz val="28"/>
      <color theme="2" tint="-0.89999084444715716"/>
      <name val="Arial"/>
      <family val="2"/>
    </font>
    <font>
      <b/>
      <sz val="30"/>
      <color theme="1"/>
      <name val="Arial"/>
      <family val="2"/>
    </font>
    <font>
      <sz val="20"/>
      <color theme="1"/>
      <name val="Arial"/>
      <family val="2"/>
    </font>
    <font>
      <b/>
      <sz val="24"/>
      <color theme="1"/>
      <name val="Arial"/>
      <family val="2"/>
    </font>
    <font>
      <sz val="26"/>
      <color rgb="FFFF0000"/>
      <name val="Arial"/>
      <family val="2"/>
    </font>
    <font>
      <sz val="30"/>
      <color rgb="FFFF0000"/>
      <name val="Arial"/>
      <family val="2"/>
    </font>
    <font>
      <sz val="24"/>
      <color rgb="FFFF0000"/>
      <name val="Calibri"/>
      <family val="2"/>
      <scheme val="minor"/>
    </font>
    <font>
      <sz val="30"/>
      <color theme="1"/>
      <name val="Arial"/>
      <family val="2"/>
    </font>
    <font>
      <sz val="11"/>
      <color theme="1"/>
      <name val="Calibri"/>
      <family val="2"/>
      <scheme val="minor"/>
    </font>
    <font>
      <sz val="36"/>
      <name val="Arial"/>
      <family val="2"/>
    </font>
    <font>
      <sz val="36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26"/>
      <color theme="1"/>
      <name val="Arial"/>
      <family val="2"/>
    </font>
    <font>
      <b/>
      <i/>
      <sz val="30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8" tint="0.79998168889431442"/>
      <name val="Arial"/>
      <family val="2"/>
    </font>
    <font>
      <sz val="10"/>
      <color theme="8" tint="-0.499984740745262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u/>
      <sz val="11"/>
      <name val="Arial"/>
      <family val="2"/>
    </font>
    <font>
      <b/>
      <sz val="11"/>
      <color rgb="FFFF0000"/>
      <name val="Arial"/>
      <family val="2"/>
    </font>
    <font>
      <sz val="11"/>
      <color rgb="FF003366"/>
      <name val="Arial"/>
      <family val="2"/>
    </font>
    <font>
      <sz val="11"/>
      <color theme="1"/>
      <name val="Arial"/>
      <family val="2"/>
    </font>
    <font>
      <sz val="11"/>
      <color indexed="10"/>
      <name val="Arial"/>
      <family val="2"/>
    </font>
    <font>
      <sz val="11"/>
      <color theme="3"/>
      <name val="Arial"/>
      <family val="2"/>
    </font>
    <font>
      <b/>
      <sz val="11"/>
      <color theme="1"/>
      <name val="Arial"/>
      <family val="2"/>
    </font>
    <font>
      <b/>
      <sz val="1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</fills>
  <borders count="7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/>
      <top style="thin">
        <color auto="1"/>
      </top>
      <bottom/>
      <diagonal/>
    </border>
  </borders>
  <cellStyleXfs count="11">
    <xf numFmtId="0" fontId="0" fillId="0" borderId="0"/>
    <xf numFmtId="0" fontId="7" fillId="0" borderId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49" fillId="0" borderId="0"/>
    <xf numFmtId="9" fontId="49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</cellStyleXfs>
  <cellXfs count="1141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1" fontId="10" fillId="5" borderId="9" xfId="0" applyNumberFormat="1" applyFont="1" applyFill="1" applyBorder="1" applyAlignment="1">
      <alignment horizontal="center" vertical="center"/>
    </xf>
    <xf numFmtId="1" fontId="13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0" fillId="2" borderId="16" xfId="0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0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2" fillId="4" borderId="21" xfId="0" applyFont="1" applyFill="1" applyBorder="1" applyAlignment="1">
      <alignment horizontal="center" vertical="center"/>
    </xf>
    <xf numFmtId="0" fontId="2" fillId="5" borderId="21" xfId="0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16" fillId="0" borderId="21" xfId="0" applyFont="1" applyBorder="1" applyAlignment="1">
      <alignment horizontal="center" vertical="center"/>
    </xf>
    <xf numFmtId="0" fontId="15" fillId="0" borderId="19" xfId="0" applyFont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3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0" fillId="2" borderId="20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1" xfId="0" applyFont="1" applyFill="1" applyBorder="1" applyAlignment="1">
      <alignment horizontal="center" vertical="center"/>
    </xf>
    <xf numFmtId="164" fontId="10" fillId="2" borderId="10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1" xfId="0" applyFont="1" applyFill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2" fontId="11" fillId="0" borderId="10" xfId="0" applyNumberFormat="1" applyFont="1" applyBorder="1" applyAlignment="1">
      <alignment horizontal="center" vertical="center"/>
    </xf>
    <xf numFmtId="2" fontId="12" fillId="0" borderId="10" xfId="0" applyNumberFormat="1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2" fontId="10" fillId="2" borderId="16" xfId="0" applyNumberFormat="1" applyFont="1" applyFill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2" fontId="12" fillId="4" borderId="0" xfId="0" applyNumberFormat="1" applyFont="1" applyFill="1" applyAlignment="1">
      <alignment horizontal="center" vertical="center"/>
    </xf>
    <xf numFmtId="1" fontId="13" fillId="5" borderId="0" xfId="0" applyNumberFormat="1" applyFont="1" applyFill="1" applyAlignment="1">
      <alignment horizontal="center" vertical="center"/>
    </xf>
    <xf numFmtId="2" fontId="13" fillId="6" borderId="0" xfId="0" applyNumberFormat="1" applyFont="1" applyFill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2" fontId="10" fillId="0" borderId="9" xfId="0" applyNumberFormat="1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7" borderId="16" xfId="0" applyNumberFormat="1" applyFont="1" applyFill="1" applyBorder="1" applyAlignment="1">
      <alignment horizontal="center" vertical="center"/>
    </xf>
    <xf numFmtId="164" fontId="11" fillId="0" borderId="10" xfId="0" applyNumberFormat="1" applyFont="1" applyBorder="1" applyAlignment="1">
      <alignment horizontal="center" vertical="center"/>
    </xf>
    <xf numFmtId="2" fontId="12" fillId="4" borderId="10" xfId="0" applyNumberFormat="1" applyFont="1" applyFill="1" applyBorder="1" applyAlignment="1">
      <alignment horizontal="center" vertical="center"/>
    </xf>
    <xf numFmtId="1" fontId="13" fillId="5" borderId="10" xfId="0" applyNumberFormat="1" applyFont="1" applyFill="1" applyBorder="1" applyAlignment="1">
      <alignment horizontal="center" vertical="center"/>
    </xf>
    <xf numFmtId="2" fontId="13" fillId="6" borderId="10" xfId="0" applyNumberFormat="1" applyFont="1" applyFill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2" fillId="7" borderId="0" xfId="0" applyNumberFormat="1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164" fontId="11" fillId="3" borderId="0" xfId="0" applyNumberFormat="1" applyFont="1" applyFill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164" fontId="10" fillId="2" borderId="19" xfId="0" applyNumberFormat="1" applyFont="1" applyFill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6" fillId="7" borderId="50" xfId="0" applyFont="1" applyFill="1" applyBorder="1" applyAlignment="1">
      <alignment vertical="center"/>
    </xf>
    <xf numFmtId="0" fontId="6" fillId="7" borderId="48" xfId="0" applyFont="1" applyFill="1" applyBorder="1" applyAlignment="1">
      <alignment vertical="center"/>
    </xf>
    <xf numFmtId="0" fontId="16" fillId="0" borderId="5" xfId="0" applyFont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8" fillId="0" borderId="29" xfId="0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164" fontId="10" fillId="2" borderId="40" xfId="0" applyNumberFormat="1" applyFont="1" applyFill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8" fillId="0" borderId="60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0" borderId="60" xfId="0" applyFont="1" applyBorder="1" applyAlignment="1">
      <alignment horizontal="center" vertical="center"/>
    </xf>
    <xf numFmtId="0" fontId="24" fillId="2" borderId="0" xfId="0" applyFont="1" applyFill="1" applyAlignment="1">
      <alignment vertical="center" wrapText="1"/>
    </xf>
    <xf numFmtId="0" fontId="24" fillId="2" borderId="32" xfId="0" applyFont="1" applyFill="1" applyBorder="1" applyAlignment="1">
      <alignment vertical="center" wrapText="1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6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65" fontId="11" fillId="0" borderId="0" xfId="0" applyNumberFormat="1" applyFont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2" fontId="10" fillId="2" borderId="29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5" fontId="11" fillId="0" borderId="29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4" xfId="0" applyNumberFormat="1" applyFont="1" applyFill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2" fontId="10" fillId="2" borderId="10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23" xfId="0" applyNumberFormat="1" applyFont="1" applyFill="1" applyBorder="1" applyAlignment="1">
      <alignment horizontal="center" vertical="center"/>
    </xf>
    <xf numFmtId="2" fontId="10" fillId="2" borderId="15" xfId="0" applyNumberFormat="1" applyFont="1" applyFill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16" fillId="0" borderId="28" xfId="0" applyFont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2" fontId="10" fillId="2" borderId="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19" xfId="0" applyNumberFormat="1" applyFont="1" applyFill="1" applyBorder="1" applyAlignment="1">
      <alignment horizontal="center" vertical="center"/>
    </xf>
    <xf numFmtId="2" fontId="10" fillId="2" borderId="9" xfId="0" applyNumberFormat="1" applyFont="1" applyFill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vertical="center"/>
    </xf>
    <xf numFmtId="0" fontId="8" fillId="0" borderId="67" xfId="0" applyFont="1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10" fillId="2" borderId="14" xfId="0" applyNumberFormat="1" applyFont="1" applyFill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11" fillId="2" borderId="39" xfId="0" applyNumberFormat="1" applyFont="1" applyFill="1" applyBorder="1" applyAlignment="1">
      <alignment horizontal="center" vertical="center"/>
    </xf>
    <xf numFmtId="164" fontId="11" fillId="2" borderId="40" xfId="0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164" fontId="10" fillId="2" borderId="68" xfId="0" applyNumberFormat="1" applyFont="1" applyFill="1" applyBorder="1" applyAlignment="1">
      <alignment horizontal="center" vertical="center"/>
    </xf>
    <xf numFmtId="2" fontId="12" fillId="4" borderId="21" xfId="0" applyNumberFormat="1" applyFont="1" applyFill="1" applyBorder="1" applyAlignment="1">
      <alignment horizontal="center" vertical="center"/>
    </xf>
    <xf numFmtId="0" fontId="13" fillId="5" borderId="21" xfId="0" applyFont="1" applyFill="1" applyBorder="1" applyAlignment="1">
      <alignment horizontal="center" vertical="center"/>
    </xf>
    <xf numFmtId="0" fontId="13" fillId="6" borderId="21" xfId="0" applyFont="1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164" fontId="10" fillId="2" borderId="29" xfId="0" applyNumberFormat="1" applyFont="1" applyFill="1" applyBorder="1" applyAlignment="1">
      <alignment horizontal="center" vertical="center"/>
    </xf>
    <xf numFmtId="164" fontId="10" fillId="2" borderId="1" xfId="0" applyNumberFormat="1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2" fontId="10" fillId="2" borderId="14" xfId="0" applyNumberFormat="1" applyFont="1" applyFill="1" applyBorder="1" applyAlignment="1">
      <alignment horizontal="center" vertical="center"/>
    </xf>
    <xf numFmtId="0" fontId="8" fillId="0" borderId="69" xfId="0" applyFont="1" applyBorder="1" applyAlignment="1">
      <alignment horizontal="center" vertical="center"/>
    </xf>
    <xf numFmtId="2" fontId="10" fillId="2" borderId="51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58" xfId="0" applyNumberFormat="1" applyFont="1" applyFill="1" applyBorder="1" applyAlignment="1">
      <alignment horizontal="center" vertical="center"/>
    </xf>
    <xf numFmtId="0" fontId="2" fillId="5" borderId="68" xfId="0" applyFont="1" applyFill="1" applyBorder="1" applyAlignment="1">
      <alignment horizontal="center" vertical="center"/>
    </xf>
    <xf numFmtId="164" fontId="11" fillId="0" borderId="27" xfId="0" applyNumberFormat="1" applyFont="1" applyBorder="1" applyAlignment="1">
      <alignment horizontal="center" vertical="center"/>
    </xf>
    <xf numFmtId="2" fontId="13" fillId="0" borderId="21" xfId="0" applyNumberFormat="1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1" fontId="13" fillId="5" borderId="21" xfId="0" applyNumberFormat="1" applyFont="1" applyFill="1" applyBorder="1" applyAlignment="1">
      <alignment horizontal="center" vertical="center"/>
    </xf>
    <xf numFmtId="2" fontId="13" fillId="6" borderId="21" xfId="0" applyNumberFormat="1" applyFont="1" applyFill="1" applyBorder="1" applyAlignment="1">
      <alignment horizontal="center" vertical="center"/>
    </xf>
    <xf numFmtId="0" fontId="8" fillId="0" borderId="70" xfId="0" applyFont="1" applyBorder="1" applyAlignment="1">
      <alignment horizontal="center"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164" fontId="11" fillId="0" borderId="22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2" fontId="11" fillId="0" borderId="21" xfId="0" applyNumberFormat="1" applyFont="1" applyBorder="1" applyAlignment="1">
      <alignment horizontal="center" vertical="center"/>
    </xf>
    <xf numFmtId="2" fontId="11" fillId="0" borderId="22" xfId="0" applyNumberFormat="1" applyFont="1" applyBorder="1" applyAlignment="1">
      <alignment horizontal="center" vertical="center"/>
    </xf>
    <xf numFmtId="164" fontId="10" fillId="2" borderId="65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164" fontId="10" fillId="2" borderId="26" xfId="0" applyNumberFormat="1" applyFont="1" applyFill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6" xfId="0" applyNumberFormat="1" applyFont="1" applyFill="1" applyBorder="1" applyAlignment="1">
      <alignment horizontal="center" vertical="center"/>
    </xf>
    <xf numFmtId="2" fontId="11" fillId="0" borderId="15" xfId="0" applyNumberFormat="1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164" fontId="11" fillId="0" borderId="46" xfId="0" applyNumberFormat="1" applyFont="1" applyBorder="1" applyAlignment="1">
      <alignment horizontal="center" vertical="center"/>
    </xf>
    <xf numFmtId="0" fontId="13" fillId="5" borderId="10" xfId="0" applyFont="1" applyFill="1" applyBorder="1" applyAlignment="1">
      <alignment horizontal="center" vertical="center"/>
    </xf>
    <xf numFmtId="0" fontId="13" fillId="6" borderId="10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5" fontId="8" fillId="0" borderId="0" xfId="0" applyNumberFormat="1" applyFont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16" xfId="0" applyNumberFormat="1" applyFont="1" applyBorder="1" applyAlignment="1">
      <alignment horizontal="center" vertical="center"/>
    </xf>
    <xf numFmtId="164" fontId="28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4" fontId="10" fillId="13" borderId="45" xfId="0" applyNumberFormat="1" applyFont="1" applyFill="1" applyBorder="1" applyAlignment="1">
      <alignment horizontal="center" vertical="center"/>
    </xf>
    <xf numFmtId="164" fontId="10" fillId="13" borderId="18" xfId="0" applyNumberFormat="1" applyFont="1" applyFill="1" applyBorder="1" applyAlignment="1">
      <alignment horizontal="center" vertical="center"/>
    </xf>
    <xf numFmtId="164" fontId="10" fillId="13" borderId="19" xfId="0" applyNumberFormat="1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164" fontId="10" fillId="13" borderId="7" xfId="0" applyNumberFormat="1" applyFont="1" applyFill="1" applyBorder="1" applyAlignment="1">
      <alignment horizontal="center" vertical="center"/>
    </xf>
    <xf numFmtId="164" fontId="10" fillId="13" borderId="9" xfId="0" applyNumberFormat="1" applyFont="1" applyFill="1" applyBorder="1" applyAlignment="1">
      <alignment horizontal="center" vertical="center"/>
    </xf>
    <xf numFmtId="164" fontId="10" fillId="13" borderId="51" xfId="0" applyNumberFormat="1" applyFont="1" applyFill="1" applyBorder="1" applyAlignment="1">
      <alignment horizontal="center" vertical="center"/>
    </xf>
    <xf numFmtId="164" fontId="10" fillId="13" borderId="38" xfId="0" applyNumberFormat="1" applyFont="1" applyFill="1" applyBorder="1" applyAlignment="1">
      <alignment horizontal="center" vertical="center"/>
    </xf>
    <xf numFmtId="164" fontId="10" fillId="13" borderId="39" xfId="0" applyNumberFormat="1" applyFont="1" applyFill="1" applyBorder="1" applyAlignment="1">
      <alignment horizontal="center" vertical="center"/>
    </xf>
    <xf numFmtId="164" fontId="10" fillId="13" borderId="40" xfId="0" applyNumberFormat="1" applyFont="1" applyFill="1" applyBorder="1" applyAlignment="1">
      <alignment horizontal="center" vertical="center"/>
    </xf>
    <xf numFmtId="164" fontId="10" fillId="13" borderId="17" xfId="0" applyNumberFormat="1" applyFont="1" applyFill="1" applyBorder="1" applyAlignment="1">
      <alignment horizontal="center" vertical="center"/>
    </xf>
    <xf numFmtId="2" fontId="11" fillId="13" borderId="10" xfId="0" applyNumberFormat="1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164" fontId="10" fillId="13" borderId="16" xfId="0" applyNumberFormat="1" applyFont="1" applyFill="1" applyBorder="1" applyAlignment="1">
      <alignment horizontal="center" vertical="center"/>
    </xf>
    <xf numFmtId="164" fontId="10" fillId="13" borderId="29" xfId="0" applyNumberFormat="1" applyFont="1" applyFill="1" applyBorder="1" applyAlignment="1">
      <alignment horizontal="center" vertical="center"/>
    </xf>
    <xf numFmtId="2" fontId="10" fillId="13" borderId="1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0" borderId="67" xfId="0" applyFont="1" applyBorder="1" applyAlignment="1">
      <alignment horizontal="center" vertical="center"/>
    </xf>
    <xf numFmtId="2" fontId="10" fillId="13" borderId="38" xfId="0" applyNumberFormat="1" applyFont="1" applyFill="1" applyBorder="1" applyAlignment="1">
      <alignment horizontal="center" vertical="center"/>
    </xf>
    <xf numFmtId="2" fontId="10" fillId="13" borderId="39" xfId="0" applyNumberFormat="1" applyFont="1" applyFill="1" applyBorder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164" fontId="10" fillId="13" borderId="68" xfId="0" applyNumberFormat="1" applyFont="1" applyFill="1" applyBorder="1" applyAlignment="1">
      <alignment horizontal="center" vertical="center"/>
    </xf>
    <xf numFmtId="164" fontId="10" fillId="2" borderId="73" xfId="0" applyNumberFormat="1" applyFont="1" applyFill="1" applyBorder="1" applyAlignment="1">
      <alignment horizontal="center" vertical="center"/>
    </xf>
    <xf numFmtId="2" fontId="11" fillId="13" borderId="21" xfId="0" applyNumberFormat="1" applyFont="1" applyFill="1" applyBorder="1" applyAlignment="1">
      <alignment horizontal="center" vertical="center"/>
    </xf>
    <xf numFmtId="2" fontId="11" fillId="0" borderId="27" xfId="0" applyNumberFormat="1" applyFont="1" applyBorder="1" applyAlignment="1">
      <alignment horizontal="center" vertical="center"/>
    </xf>
    <xf numFmtId="0" fontId="8" fillId="0" borderId="43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164" fontId="10" fillId="13" borderId="46" xfId="0" applyNumberFormat="1" applyFont="1" applyFill="1" applyBorder="1" applyAlignment="1">
      <alignment horizontal="center" vertical="center"/>
    </xf>
    <xf numFmtId="164" fontId="10" fillId="13" borderId="10" xfId="0" applyNumberFormat="1" applyFont="1" applyFill="1" applyBorder="1" applyAlignment="1">
      <alignment horizontal="center" vertical="center"/>
    </xf>
    <xf numFmtId="164" fontId="10" fillId="2" borderId="31" xfId="0" applyNumberFormat="1" applyFont="1" applyFill="1" applyBorder="1" applyAlignment="1">
      <alignment horizontal="center" vertical="center"/>
    </xf>
    <xf numFmtId="165" fontId="11" fillId="0" borderId="46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0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Border="1" applyAlignment="1">
      <alignment horizontal="center" vertical="center"/>
    </xf>
    <xf numFmtId="164" fontId="10" fillId="0" borderId="68" xfId="0" applyNumberFormat="1" applyFont="1" applyBorder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10" fillId="2" borderId="58" xfId="0" applyNumberFormat="1" applyFont="1" applyFill="1" applyBorder="1" applyAlignment="1">
      <alignment horizontal="center" vertical="center"/>
    </xf>
    <xf numFmtId="2" fontId="11" fillId="0" borderId="20" xfId="0" applyNumberFormat="1" applyFont="1" applyBorder="1" applyAlignment="1">
      <alignment horizontal="center" vertical="center"/>
    </xf>
    <xf numFmtId="2" fontId="12" fillId="0" borderId="21" xfId="0" applyNumberFormat="1" applyFont="1" applyBorder="1" applyAlignment="1">
      <alignment horizontal="center" vertical="center"/>
    </xf>
    <xf numFmtId="1" fontId="13" fillId="6" borderId="21" xfId="0" applyNumberFormat="1" applyFont="1" applyFill="1" applyBorder="1" applyAlignment="1">
      <alignment horizontal="center" vertical="center"/>
    </xf>
    <xf numFmtId="2" fontId="2" fillId="0" borderId="21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10" fillId="2" borderId="23" xfId="0" applyNumberFormat="1" applyFont="1" applyFill="1" applyBorder="1" applyAlignment="1">
      <alignment horizontal="center" vertical="center"/>
    </xf>
    <xf numFmtId="164" fontId="23" fillId="16" borderId="0" xfId="0" applyNumberFormat="1" applyFont="1" applyFill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8" fillId="0" borderId="50" xfId="0" applyFont="1" applyBorder="1" applyAlignment="1">
      <alignment horizontal="center" vertical="center"/>
    </xf>
    <xf numFmtId="164" fontId="10" fillId="13" borderId="4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164" fontId="10" fillId="13" borderId="52" xfId="0" applyNumberFormat="1" applyFont="1" applyFill="1" applyBorder="1" applyAlignment="1">
      <alignment horizontal="center" vertical="center"/>
    </xf>
    <xf numFmtId="164" fontId="10" fillId="13" borderId="1" xfId="0" applyNumberFormat="1" applyFont="1" applyFill="1" applyBorder="1" applyAlignment="1">
      <alignment horizontal="center" vertical="center"/>
    </xf>
    <xf numFmtId="164" fontId="10" fillId="0" borderId="29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3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164" fontId="10" fillId="0" borderId="10" xfId="0" applyNumberFormat="1" applyFont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164" fontId="10" fillId="0" borderId="60" xfId="0" applyNumberFormat="1" applyFont="1" applyBorder="1" applyAlignment="1">
      <alignment horizontal="center" vertical="center"/>
    </xf>
    <xf numFmtId="164" fontId="10" fillId="0" borderId="67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2" fillId="0" borderId="21" xfId="0" applyNumberFormat="1" applyFont="1" applyBorder="1" applyAlignment="1">
      <alignment horizontal="center" vertical="center"/>
    </xf>
    <xf numFmtId="1" fontId="10" fillId="3" borderId="7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2" fontId="11" fillId="0" borderId="4" xfId="0" applyNumberFormat="1" applyFont="1" applyBorder="1" applyAlignment="1">
      <alignment horizontal="center" vertical="center"/>
    </xf>
    <xf numFmtId="2" fontId="2" fillId="0" borderId="10" xfId="0" applyNumberFormat="1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29" fillId="2" borderId="0" xfId="0" applyFont="1" applyFill="1" applyAlignment="1">
      <alignment horizontal="center" vertical="center"/>
    </xf>
    <xf numFmtId="1" fontId="10" fillId="3" borderId="6" xfId="0" applyNumberFormat="1" applyFont="1" applyFill="1" applyBorder="1" applyAlignment="1">
      <alignment horizontal="center" vertical="center"/>
    </xf>
    <xf numFmtId="0" fontId="2" fillId="3" borderId="0" xfId="0" applyFont="1" applyFill="1" applyAlignment="1">
      <alignment horizontal="left" vertical="center"/>
    </xf>
    <xf numFmtId="164" fontId="30" fillId="0" borderId="0" xfId="0" applyNumberFormat="1" applyFont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73" xfId="0" applyBorder="1" applyAlignment="1">
      <alignment horizontal="center" vertical="center"/>
    </xf>
    <xf numFmtId="0" fontId="2" fillId="0" borderId="45" xfId="0" applyFont="1" applyBorder="1" applyAlignment="1">
      <alignment horizontal="left" vertical="center"/>
    </xf>
    <xf numFmtId="164" fontId="2" fillId="0" borderId="19" xfId="0" applyNumberFormat="1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" fontId="10" fillId="18" borderId="7" xfId="0" applyNumberFormat="1" applyFont="1" applyFill="1" applyBorder="1" applyAlignment="1">
      <alignment horizontal="center" vertical="center"/>
    </xf>
    <xf numFmtId="1" fontId="10" fillId="18" borderId="9" xfId="0" applyNumberFormat="1" applyFont="1" applyFill="1" applyBorder="1" applyAlignment="1">
      <alignment horizontal="center" vertical="center"/>
    </xf>
    <xf numFmtId="164" fontId="10" fillId="18" borderId="0" xfId="0" applyNumberFormat="1" applyFont="1" applyFill="1" applyAlignment="1">
      <alignment horizontal="center" vertical="center"/>
    </xf>
    <xf numFmtId="164" fontId="10" fillId="18" borderId="0" xfId="0" applyNumberFormat="1" applyFont="1" applyFill="1" applyAlignment="1">
      <alignment horizontal="left" vertical="center"/>
    </xf>
    <xf numFmtId="164" fontId="27" fillId="19" borderId="0" xfId="0" applyNumberFormat="1" applyFont="1" applyFill="1" applyAlignment="1">
      <alignment horizontal="center" vertical="center"/>
    </xf>
    <xf numFmtId="164" fontId="10" fillId="19" borderId="7" xfId="0" applyNumberFormat="1" applyFont="1" applyFill="1" applyBorder="1" applyAlignment="1">
      <alignment horizontal="center" vertical="center"/>
    </xf>
    <xf numFmtId="164" fontId="27" fillId="20" borderId="0" xfId="0" applyNumberFormat="1" applyFont="1" applyFill="1" applyAlignment="1">
      <alignment horizontal="center" vertical="center"/>
    </xf>
    <xf numFmtId="164" fontId="10" fillId="20" borderId="8" xfId="0" applyNumberFormat="1" applyFont="1" applyFill="1" applyBorder="1" applyAlignment="1">
      <alignment horizontal="center" vertical="center"/>
    </xf>
    <xf numFmtId="164" fontId="10" fillId="20" borderId="7" xfId="0" applyNumberFormat="1" applyFont="1" applyFill="1" applyBorder="1" applyAlignment="1">
      <alignment horizontal="center" vertical="center"/>
    </xf>
    <xf numFmtId="1" fontId="10" fillId="21" borderId="7" xfId="0" applyNumberFormat="1" applyFont="1" applyFill="1" applyBorder="1" applyAlignment="1">
      <alignment horizontal="center" vertical="center"/>
    </xf>
    <xf numFmtId="164" fontId="10" fillId="21" borderId="0" xfId="0" applyNumberFormat="1" applyFont="1" applyFill="1" applyAlignment="1">
      <alignment horizontal="center" vertical="center"/>
    </xf>
    <xf numFmtId="164" fontId="27" fillId="19" borderId="0" xfId="0" applyNumberFormat="1" applyFont="1" applyFill="1" applyAlignment="1">
      <alignment horizontal="left" vertical="center"/>
    </xf>
    <xf numFmtId="164" fontId="10" fillId="0" borderId="0" xfId="0" applyNumberFormat="1" applyFont="1" applyAlignment="1">
      <alignment horizontal="left" vertical="center"/>
    </xf>
    <xf numFmtId="164" fontId="27" fillId="0" borderId="0" xfId="0" applyNumberFormat="1" applyFont="1" applyAlignment="1">
      <alignment horizontal="left" vertical="center"/>
    </xf>
    <xf numFmtId="2" fontId="2" fillId="0" borderId="5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0" fillId="0" borderId="45" xfId="0" applyFont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6" fillId="0" borderId="65" xfId="0" applyFont="1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0" fontId="26" fillId="0" borderId="45" xfId="0" applyFont="1" applyBorder="1" applyAlignment="1">
      <alignment horizontal="center" vertical="center"/>
    </xf>
    <xf numFmtId="0" fontId="26" fillId="0" borderId="19" xfId="0" applyFont="1" applyBorder="1" applyAlignment="1">
      <alignment horizontal="center" vertical="center"/>
    </xf>
    <xf numFmtId="1" fontId="2" fillId="0" borderId="6" xfId="0" applyNumberFormat="1" applyFont="1" applyBorder="1" applyAlignment="1">
      <alignment horizontal="center" vertical="center"/>
    </xf>
    <xf numFmtId="1" fontId="2" fillId="0" borderId="12" xfId="0" applyNumberFormat="1" applyFont="1" applyBorder="1" applyAlignment="1">
      <alignment horizontal="center" vertical="center"/>
    </xf>
    <xf numFmtId="1" fontId="10" fillId="22" borderId="7" xfId="0" applyNumberFormat="1" applyFont="1" applyFill="1" applyBorder="1" applyAlignment="1">
      <alignment horizontal="center" vertical="center"/>
    </xf>
    <xf numFmtId="1" fontId="10" fillId="19" borderId="7" xfId="0" applyNumberFormat="1" applyFont="1" applyFill="1" applyBorder="1" applyAlignment="1">
      <alignment horizontal="center" vertical="center"/>
    </xf>
    <xf numFmtId="1" fontId="10" fillId="23" borderId="7" xfId="0" applyNumberFormat="1" applyFont="1" applyFill="1" applyBorder="1" applyAlignment="1">
      <alignment horizontal="center" vertical="center"/>
    </xf>
    <xf numFmtId="1" fontId="10" fillId="23" borderId="9" xfId="0" applyNumberFormat="1" applyFont="1" applyFill="1" applyBorder="1" applyAlignment="1">
      <alignment horizontal="center" vertical="center"/>
    </xf>
    <xf numFmtId="1" fontId="26" fillId="0" borderId="45" xfId="0" applyNumberFormat="1" applyFont="1" applyBorder="1" applyAlignment="1">
      <alignment horizontal="center" vertical="center"/>
    </xf>
    <xf numFmtId="1" fontId="10" fillId="0" borderId="12" xfId="0" applyNumberFormat="1" applyFont="1" applyBorder="1" applyAlignment="1">
      <alignment horizontal="center" vertical="center"/>
    </xf>
    <xf numFmtId="1" fontId="10" fillId="0" borderId="45" xfId="0" applyNumberFormat="1" applyFont="1" applyBorder="1" applyAlignment="1">
      <alignment horizontal="center" vertical="center"/>
    </xf>
    <xf numFmtId="1" fontId="26" fillId="0" borderId="65" xfId="0" applyNumberFormat="1" applyFont="1" applyBorder="1" applyAlignment="1">
      <alignment horizontal="center" vertical="center"/>
    </xf>
    <xf numFmtId="1" fontId="10" fillId="22" borderId="6" xfId="0" applyNumberFormat="1" applyFont="1" applyFill="1" applyBorder="1" applyAlignment="1">
      <alignment horizontal="center" vertical="center"/>
    </xf>
    <xf numFmtId="1" fontId="10" fillId="22" borderId="45" xfId="0" applyNumberFormat="1" applyFont="1" applyFill="1" applyBorder="1" applyAlignment="1">
      <alignment horizontal="center" vertical="center"/>
    </xf>
    <xf numFmtId="1" fontId="26" fillId="22" borderId="65" xfId="0" applyNumberFormat="1" applyFont="1" applyFill="1" applyBorder="1" applyAlignment="1">
      <alignment horizontal="center" vertical="center"/>
    </xf>
    <xf numFmtId="1" fontId="26" fillId="23" borderId="45" xfId="0" applyNumberFormat="1" applyFont="1" applyFill="1" applyBorder="1" applyAlignment="1">
      <alignment horizontal="center" vertical="center"/>
    </xf>
    <xf numFmtId="1" fontId="10" fillId="23" borderId="12" xfId="0" applyNumberFormat="1" applyFont="1" applyFill="1" applyBorder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2" borderId="61" xfId="0" applyNumberFormat="1" applyFont="1" applyFill="1" applyBorder="1" applyAlignment="1">
      <alignment horizontal="center" vertical="center"/>
    </xf>
    <xf numFmtId="164" fontId="10" fillId="2" borderId="62" xfId="0" applyNumberFormat="1" applyFont="1" applyFill="1" applyBorder="1" applyAlignment="1">
      <alignment horizontal="center" vertical="center"/>
    </xf>
    <xf numFmtId="164" fontId="10" fillId="2" borderId="63" xfId="0" applyNumberFormat="1" applyFont="1" applyFill="1" applyBorder="1" applyAlignment="1">
      <alignment horizontal="center" vertical="center"/>
    </xf>
    <xf numFmtId="164" fontId="10" fillId="2" borderId="59" xfId="0" applyNumberFormat="1" applyFont="1" applyFill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4" fontId="10" fillId="2" borderId="60" xfId="0" applyNumberFormat="1" applyFont="1" applyFill="1" applyBorder="1" applyAlignment="1">
      <alignment horizontal="center" vertical="center"/>
    </xf>
    <xf numFmtId="0" fontId="31" fillId="16" borderId="35" xfId="0" applyFont="1" applyFill="1" applyBorder="1" applyAlignment="1">
      <alignment horizontal="center" vertical="center"/>
    </xf>
    <xf numFmtId="0" fontId="31" fillId="22" borderId="36" xfId="0" applyFont="1" applyFill="1" applyBorder="1" applyAlignment="1">
      <alignment horizontal="center" vertical="center"/>
    </xf>
    <xf numFmtId="0" fontId="31" fillId="24" borderId="36" xfId="0" applyFont="1" applyFill="1" applyBorder="1" applyAlignment="1">
      <alignment horizontal="center" vertical="center"/>
    </xf>
    <xf numFmtId="0" fontId="31" fillId="3" borderId="56" xfId="0" applyFont="1" applyFill="1" applyBorder="1" applyAlignment="1">
      <alignment horizontal="center" vertical="center"/>
    </xf>
    <xf numFmtId="0" fontId="31" fillId="3" borderId="35" xfId="0" applyFont="1" applyFill="1" applyBorder="1" applyAlignment="1">
      <alignment horizontal="center" vertical="center"/>
    </xf>
    <xf numFmtId="0" fontId="31" fillId="16" borderId="36" xfId="0" applyFont="1" applyFill="1" applyBorder="1" applyAlignment="1">
      <alignment horizontal="center" vertical="center"/>
    </xf>
    <xf numFmtId="0" fontId="31" fillId="19" borderId="37" xfId="0" applyFont="1" applyFill="1" applyBorder="1" applyAlignment="1">
      <alignment horizontal="center" vertical="center"/>
    </xf>
    <xf numFmtId="0" fontId="31" fillId="3" borderId="57" xfId="0" applyFont="1" applyFill="1" applyBorder="1" applyAlignment="1">
      <alignment horizontal="center" vertical="center"/>
    </xf>
    <xf numFmtId="0" fontId="31" fillId="19" borderId="56" xfId="0" applyFont="1" applyFill="1" applyBorder="1" applyAlignment="1">
      <alignment horizontal="center" vertical="center"/>
    </xf>
    <xf numFmtId="0" fontId="31" fillId="3" borderId="37" xfId="0" applyFont="1" applyFill="1" applyBorder="1" applyAlignment="1">
      <alignment horizontal="center" vertical="center"/>
    </xf>
    <xf numFmtId="0" fontId="31" fillId="16" borderId="37" xfId="0" applyFont="1" applyFill="1" applyBorder="1" applyAlignment="1">
      <alignment horizontal="center" vertical="center"/>
    </xf>
    <xf numFmtId="1" fontId="33" fillId="2" borderId="0" xfId="0" applyNumberFormat="1" applyFont="1" applyFill="1" applyAlignment="1">
      <alignment horizontal="center" vertical="center"/>
    </xf>
    <xf numFmtId="1" fontId="32" fillId="0" borderId="7" xfId="0" applyNumberFormat="1" applyFont="1" applyBorder="1" applyAlignment="1">
      <alignment horizontal="center" vertical="center"/>
    </xf>
    <xf numFmtId="1" fontId="33" fillId="3" borderId="7" xfId="0" applyNumberFormat="1" applyFont="1" applyFill="1" applyBorder="1" applyAlignment="1">
      <alignment horizontal="center" vertical="center"/>
    </xf>
    <xf numFmtId="0" fontId="28" fillId="0" borderId="0" xfId="0" applyFont="1"/>
    <xf numFmtId="0" fontId="35" fillId="2" borderId="0" xfId="0" applyFont="1" applyFill="1" applyAlignment="1">
      <alignment horizontal="center" vertical="center"/>
    </xf>
    <xf numFmtId="0" fontId="34" fillId="0" borderId="0" xfId="0" applyFont="1" applyAlignment="1">
      <alignment vertical="center"/>
    </xf>
    <xf numFmtId="0" fontId="34" fillId="2" borderId="0" xfId="0" applyFont="1" applyFill="1" applyAlignment="1">
      <alignment horizontal="center" vertical="center"/>
    </xf>
    <xf numFmtId="0" fontId="36" fillId="2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3" borderId="36" xfId="0" applyFont="1" applyFill="1" applyBorder="1" applyAlignment="1">
      <alignment horizontal="center" vertical="center"/>
    </xf>
    <xf numFmtId="164" fontId="28" fillId="0" borderId="0" xfId="0" applyNumberFormat="1" applyFont="1"/>
    <xf numFmtId="164" fontId="34" fillId="0" borderId="0" xfId="0" applyNumberFormat="1" applyFont="1" applyAlignment="1">
      <alignment horizontal="center" vertical="center"/>
    </xf>
    <xf numFmtId="1" fontId="35" fillId="0" borderId="0" xfId="0" applyNumberFormat="1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0" fontId="35" fillId="7" borderId="0" xfId="0" applyFont="1" applyFill="1" applyAlignment="1">
      <alignment horizontal="center" vertical="center"/>
    </xf>
    <xf numFmtId="0" fontId="35" fillId="3" borderId="45" xfId="0" applyFont="1" applyFill="1" applyBorder="1" applyAlignment="1">
      <alignment horizontal="center" vertical="center"/>
    </xf>
    <xf numFmtId="0" fontId="35" fillId="3" borderId="18" xfId="0" applyFont="1" applyFill="1" applyBorder="1" applyAlignment="1">
      <alignment horizontal="center" vertical="center"/>
    </xf>
    <xf numFmtId="0" fontId="38" fillId="14" borderId="41" xfId="0" applyFont="1" applyFill="1" applyBorder="1" applyAlignment="1">
      <alignment horizontal="center" vertical="center"/>
    </xf>
    <xf numFmtId="164" fontId="35" fillId="2" borderId="0" xfId="0" applyNumberFormat="1" applyFont="1" applyFill="1" applyAlignment="1">
      <alignment horizontal="center" vertical="center"/>
    </xf>
    <xf numFmtId="0" fontId="34" fillId="0" borderId="0" xfId="0" applyFont="1" applyAlignment="1">
      <alignment vertical="center" wrapText="1"/>
    </xf>
    <xf numFmtId="0" fontId="2" fillId="0" borderId="50" xfId="0" applyFont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2" fontId="13" fillId="0" borderId="10" xfId="0" applyNumberFormat="1" applyFont="1" applyBorder="1" applyAlignment="1">
      <alignment horizontal="center" vertical="center"/>
    </xf>
    <xf numFmtId="164" fontId="10" fillId="3" borderId="29" xfId="0" applyNumberFormat="1" applyFont="1" applyFill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" fontId="32" fillId="0" borderId="0" xfId="0" applyNumberFormat="1" applyFont="1" applyAlignment="1">
      <alignment horizontal="center" vertical="center"/>
    </xf>
    <xf numFmtId="0" fontId="5" fillId="2" borderId="41" xfId="0" applyFont="1" applyFill="1" applyBorder="1" applyAlignment="1">
      <alignment horizontal="center" vertical="center"/>
    </xf>
    <xf numFmtId="1" fontId="33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31" fillId="0" borderId="35" xfId="0" applyFont="1" applyBorder="1" applyAlignment="1">
      <alignment horizontal="center" vertical="center"/>
    </xf>
    <xf numFmtId="0" fontId="31" fillId="0" borderId="36" xfId="0" applyFont="1" applyBorder="1" applyAlignment="1">
      <alignment horizontal="center" vertical="center"/>
    </xf>
    <xf numFmtId="0" fontId="31" fillId="0" borderId="56" xfId="0" applyFont="1" applyBorder="1" applyAlignment="1">
      <alignment horizontal="center" vertical="center"/>
    </xf>
    <xf numFmtId="164" fontId="2" fillId="0" borderId="68" xfId="0" applyNumberFormat="1" applyFont="1" applyBorder="1" applyAlignment="1">
      <alignment horizontal="center" vertical="center"/>
    </xf>
    <xf numFmtId="0" fontId="31" fillId="0" borderId="64" xfId="0" applyFont="1" applyBorder="1" applyAlignment="1">
      <alignment horizontal="center" vertical="center"/>
    </xf>
    <xf numFmtId="0" fontId="31" fillId="0" borderId="65" xfId="0" applyFont="1" applyBorder="1" applyAlignment="1">
      <alignment horizontal="center" vertical="center"/>
    </xf>
    <xf numFmtId="0" fontId="31" fillId="0" borderId="66" xfId="0" applyFont="1" applyBorder="1" applyAlignment="1">
      <alignment horizontal="center" vertical="center"/>
    </xf>
    <xf numFmtId="0" fontId="31" fillId="0" borderId="59" xfId="0" applyFont="1" applyBorder="1" applyAlignment="1">
      <alignment horizontal="center" vertical="center"/>
    </xf>
    <xf numFmtId="0" fontId="31" fillId="0" borderId="54" xfId="0" applyFont="1" applyBorder="1" applyAlignment="1">
      <alignment horizontal="center" vertical="center"/>
    </xf>
    <xf numFmtId="0" fontId="31" fillId="0" borderId="60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31" fillId="0" borderId="26" xfId="0" applyFont="1" applyBorder="1" applyAlignment="1">
      <alignment horizontal="center" vertical="center"/>
    </xf>
    <xf numFmtId="0" fontId="31" fillId="0" borderId="37" xfId="0" applyFont="1" applyBorder="1" applyAlignment="1">
      <alignment horizontal="center" vertical="center"/>
    </xf>
    <xf numFmtId="164" fontId="10" fillId="0" borderId="66" xfId="0" applyNumberFormat="1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8" fillId="3" borderId="36" xfId="0" applyFont="1" applyFill="1" applyBorder="1" applyAlignment="1">
      <alignment horizontal="center" vertical="center"/>
    </xf>
    <xf numFmtId="0" fontId="8" fillId="3" borderId="56" xfId="0" applyFont="1" applyFill="1" applyBorder="1" applyAlignment="1">
      <alignment horizontal="center" vertical="center"/>
    </xf>
    <xf numFmtId="0" fontId="39" fillId="14" borderId="48" xfId="0" applyFont="1" applyFill="1" applyBorder="1" applyAlignment="1">
      <alignment horizontal="center" vertical="center"/>
    </xf>
    <xf numFmtId="0" fontId="35" fillId="3" borderId="35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vertical="center"/>
    </xf>
    <xf numFmtId="0" fontId="6" fillId="2" borderId="48" xfId="0" applyFont="1" applyFill="1" applyBorder="1" applyAlignment="1">
      <alignment vertical="center"/>
    </xf>
    <xf numFmtId="0" fontId="35" fillId="3" borderId="56" xfId="0" applyFont="1" applyFill="1" applyBorder="1" applyAlignment="1">
      <alignment horizontal="center" vertical="center"/>
    </xf>
    <xf numFmtId="164" fontId="35" fillId="0" borderId="27" xfId="0" applyNumberFormat="1" applyFont="1" applyBorder="1" applyAlignment="1">
      <alignment horizontal="center" vertical="center"/>
    </xf>
    <xf numFmtId="2" fontId="42" fillId="0" borderId="21" xfId="0" applyNumberFormat="1" applyFont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2" fontId="42" fillId="0" borderId="20" xfId="0" applyNumberFormat="1" applyFont="1" applyBorder="1" applyAlignment="1">
      <alignment horizontal="center" vertical="center"/>
    </xf>
    <xf numFmtId="0" fontId="35" fillId="14" borderId="7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3" borderId="18" xfId="0" applyFont="1" applyFill="1" applyBorder="1" applyAlignment="1">
      <alignment horizontal="center" vertical="center"/>
    </xf>
    <xf numFmtId="0" fontId="8" fillId="3" borderId="19" xfId="0" applyFont="1" applyFill="1" applyBorder="1" applyAlignment="1">
      <alignment horizontal="center" vertical="center"/>
    </xf>
    <xf numFmtId="0" fontId="8" fillId="3" borderId="38" xfId="0" applyFont="1" applyFill="1" applyBorder="1" applyAlignment="1">
      <alignment horizontal="center" vertical="center"/>
    </xf>
    <xf numFmtId="0" fontId="8" fillId="3" borderId="39" xfId="0" applyFont="1" applyFill="1" applyBorder="1" applyAlignment="1">
      <alignment horizontal="center" vertical="center"/>
    </xf>
    <xf numFmtId="0" fontId="8" fillId="3" borderId="40" xfId="0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164" fontId="10" fillId="7" borderId="9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164" fontId="10" fillId="16" borderId="16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10" fillId="23" borderId="16" xfId="0" applyNumberFormat="1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9" xfId="0" applyNumberFormat="1" applyFont="1" applyFill="1" applyBorder="1" applyAlignment="1">
      <alignment horizontal="center" vertical="center"/>
    </xf>
    <xf numFmtId="164" fontId="10" fillId="23" borderId="6" xfId="0" applyNumberFormat="1" applyFont="1" applyFill="1" applyBorder="1" applyAlignment="1">
      <alignment horizontal="center" vertical="center"/>
    </xf>
    <xf numFmtId="164" fontId="10" fillId="23" borderId="7" xfId="0" applyNumberFormat="1" applyFont="1" applyFill="1" applyBorder="1" applyAlignment="1">
      <alignment horizontal="center" vertical="center"/>
    </xf>
    <xf numFmtId="164" fontId="10" fillId="9" borderId="16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7" xfId="0" applyNumberFormat="1" applyFont="1" applyFill="1" applyBorder="1" applyAlignment="1">
      <alignment horizontal="center" vertical="center"/>
    </xf>
    <xf numFmtId="164" fontId="10" fillId="23" borderId="9" xfId="0" applyNumberFormat="1" applyFont="1" applyFill="1" applyBorder="1" applyAlignment="1">
      <alignment horizontal="center" vertical="center"/>
    </xf>
    <xf numFmtId="164" fontId="10" fillId="26" borderId="16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7" xfId="0" applyNumberFormat="1" applyFont="1" applyFill="1" applyBorder="1" applyAlignment="1">
      <alignment horizontal="center" vertical="center"/>
    </xf>
    <xf numFmtId="164" fontId="10" fillId="9" borderId="9" xfId="0" applyNumberFormat="1" applyFont="1" applyFill="1" applyBorder="1" applyAlignment="1">
      <alignment horizontal="center" vertical="center"/>
    </xf>
    <xf numFmtId="0" fontId="31" fillId="0" borderId="67" xfId="0" applyFont="1" applyBorder="1" applyAlignment="1">
      <alignment horizontal="center" vertical="center"/>
    </xf>
    <xf numFmtId="164" fontId="10" fillId="27" borderId="7" xfId="0" applyNumberFormat="1" applyFont="1" applyFill="1" applyBorder="1" applyAlignment="1">
      <alignment horizontal="center" vertical="center"/>
    </xf>
    <xf numFmtId="164" fontId="10" fillId="27" borderId="9" xfId="0" applyNumberFormat="1" applyFont="1" applyFill="1" applyBorder="1" applyAlignment="1">
      <alignment horizontal="center" vertical="center"/>
    </xf>
    <xf numFmtId="164" fontId="10" fillId="28" borderId="16" xfId="0" applyNumberFormat="1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10" fillId="28" borderId="7" xfId="0" applyNumberFormat="1" applyFont="1" applyFill="1" applyBorder="1" applyAlignment="1">
      <alignment horizontal="center" vertical="center"/>
    </xf>
    <xf numFmtId="164" fontId="10" fillId="20" borderId="16" xfId="0" applyNumberFormat="1" applyFont="1" applyFill="1" applyBorder="1" applyAlignment="1">
      <alignment horizontal="center" vertical="center"/>
    </xf>
    <xf numFmtId="164" fontId="10" fillId="19" borderId="9" xfId="0" applyNumberFormat="1" applyFont="1" applyFill="1" applyBorder="1" applyAlignment="1">
      <alignment horizontal="center" vertical="center"/>
    </xf>
    <xf numFmtId="164" fontId="10" fillId="28" borderId="9" xfId="0" applyNumberFormat="1" applyFont="1" applyFill="1" applyBorder="1" applyAlignment="1">
      <alignment horizontal="center" vertical="center"/>
    </xf>
    <xf numFmtId="164" fontId="10" fillId="8" borderId="16" xfId="0" applyNumberFormat="1" applyFont="1" applyFill="1" applyBorder="1" applyAlignment="1">
      <alignment horizontal="center" vertical="center"/>
    </xf>
    <xf numFmtId="164" fontId="10" fillId="20" borderId="6" xfId="0" applyNumberFormat="1" applyFont="1" applyFill="1" applyBorder="1" applyAlignment="1">
      <alignment horizontal="center" vertical="center"/>
    </xf>
    <xf numFmtId="164" fontId="10" fillId="20" borderId="9" xfId="0" applyNumberFormat="1" applyFont="1" applyFill="1" applyBorder="1" applyAlignment="1">
      <alignment horizontal="center" vertical="center"/>
    </xf>
    <xf numFmtId="164" fontId="10" fillId="21" borderId="16" xfId="0" applyNumberFormat="1" applyFont="1" applyFill="1" applyBorder="1" applyAlignment="1">
      <alignment horizontal="center" vertical="center"/>
    </xf>
    <xf numFmtId="164" fontId="10" fillId="8" borderId="7" xfId="0" applyNumberFormat="1" applyFont="1" applyFill="1" applyBorder="1" applyAlignment="1">
      <alignment horizontal="center" vertical="center"/>
    </xf>
    <xf numFmtId="164" fontId="10" fillId="26" borderId="9" xfId="0" applyNumberFormat="1" applyFont="1" applyFill="1" applyBorder="1" applyAlignment="1">
      <alignment horizontal="center" vertical="center"/>
    </xf>
    <xf numFmtId="164" fontId="10" fillId="8" borderId="9" xfId="0" applyNumberFormat="1" applyFont="1" applyFill="1" applyBorder="1" applyAlignment="1">
      <alignment horizontal="center" vertical="center"/>
    </xf>
    <xf numFmtId="164" fontId="10" fillId="8" borderId="6" xfId="0" applyNumberFormat="1" applyFont="1" applyFill="1" applyBorder="1" applyAlignment="1">
      <alignment horizontal="center" vertical="center"/>
    </xf>
    <xf numFmtId="164" fontId="10" fillId="18" borderId="7" xfId="0" applyNumberFormat="1" applyFont="1" applyFill="1" applyBorder="1" applyAlignment="1">
      <alignment horizontal="center" vertical="center"/>
    </xf>
    <xf numFmtId="164" fontId="10" fillId="18" borderId="6" xfId="0" applyNumberFormat="1" applyFont="1" applyFill="1" applyBorder="1" applyAlignment="1">
      <alignment horizontal="center" vertical="center"/>
    </xf>
    <xf numFmtId="164" fontId="10" fillId="18" borderId="9" xfId="0" applyNumberFormat="1" applyFont="1" applyFill="1" applyBorder="1" applyAlignment="1">
      <alignment horizontal="center" vertical="center"/>
    </xf>
    <xf numFmtId="164" fontId="19" fillId="0" borderId="0" xfId="0" applyNumberFormat="1" applyFont="1" applyAlignment="1">
      <alignment vertical="center"/>
    </xf>
    <xf numFmtId="2" fontId="11" fillId="3" borderId="10" xfId="0" applyNumberFormat="1" applyFont="1" applyFill="1" applyBorder="1" applyAlignment="1">
      <alignment horizontal="center" vertical="center"/>
    </xf>
    <xf numFmtId="2" fontId="11" fillId="3" borderId="21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0" fontId="10" fillId="7" borderId="11" xfId="0" applyFont="1" applyFill="1" applyBorder="1" applyAlignment="1">
      <alignment horizontal="center" vertical="center"/>
    </xf>
    <xf numFmtId="164" fontId="10" fillId="29" borderId="7" xfId="0" applyNumberFormat="1" applyFont="1" applyFill="1" applyBorder="1" applyAlignment="1">
      <alignment horizontal="center" vertical="center"/>
    </xf>
    <xf numFmtId="2" fontId="11" fillId="7" borderId="10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2" fontId="11" fillId="7" borderId="21" xfId="0" applyNumberFormat="1" applyFont="1" applyFill="1" applyBorder="1" applyAlignment="1">
      <alignment horizontal="center" vertical="center"/>
    </xf>
    <xf numFmtId="164" fontId="10" fillId="29" borderId="6" xfId="0" applyNumberFormat="1" applyFont="1" applyFill="1" applyBorder="1" applyAlignment="1">
      <alignment horizontal="center" vertical="center"/>
    </xf>
    <xf numFmtId="164" fontId="10" fillId="29" borderId="9" xfId="0" applyNumberFormat="1" applyFont="1" applyFill="1" applyBorder="1" applyAlignment="1">
      <alignment horizontal="center" vertical="center"/>
    </xf>
    <xf numFmtId="0" fontId="35" fillId="0" borderId="0" xfId="0" applyFont="1" applyAlignment="1">
      <alignment vertical="center"/>
    </xf>
    <xf numFmtId="0" fontId="35" fillId="0" borderId="0" xfId="0" applyFont="1" applyAlignment="1">
      <alignment vertical="center" wrapText="1"/>
    </xf>
    <xf numFmtId="0" fontId="22" fillId="0" borderId="0" xfId="0" applyFont="1" applyAlignment="1">
      <alignment vertical="center" wrapText="1"/>
    </xf>
    <xf numFmtId="0" fontId="43" fillId="0" borderId="0" xfId="0" applyFont="1" applyAlignment="1">
      <alignment horizontal="center" vertical="center"/>
    </xf>
    <xf numFmtId="20" fontId="35" fillId="0" borderId="0" xfId="0" applyNumberFormat="1" applyFont="1" applyAlignment="1">
      <alignment vertical="center" wrapText="1"/>
    </xf>
    <xf numFmtId="49" fontId="35" fillId="0" borderId="0" xfId="0" applyNumberFormat="1" applyFont="1" applyAlignment="1">
      <alignment vertical="center" wrapText="1"/>
    </xf>
    <xf numFmtId="164" fontId="34" fillId="0" borderId="0" xfId="0" applyNumberFormat="1" applyFont="1" applyAlignment="1">
      <alignment vertical="center" wrapText="1"/>
    </xf>
    <xf numFmtId="0" fontId="2" fillId="0" borderId="6" xfId="0" applyFont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164" fontId="10" fillId="3" borderId="64" xfId="0" applyNumberFormat="1" applyFont="1" applyFill="1" applyBorder="1" applyAlignment="1">
      <alignment horizontal="center" vertical="center"/>
    </xf>
    <xf numFmtId="164" fontId="10" fillId="3" borderId="66" xfId="0" applyNumberFormat="1" applyFont="1" applyFill="1" applyBorder="1" applyAlignment="1">
      <alignment horizontal="center" vertical="center"/>
    </xf>
    <xf numFmtId="164" fontId="10" fillId="7" borderId="0" xfId="0" applyNumberFormat="1" applyFont="1" applyFill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2" fontId="11" fillId="3" borderId="22" xfId="0" applyNumberFormat="1" applyFont="1" applyFill="1" applyBorder="1" applyAlignment="1">
      <alignment horizontal="center" vertical="center"/>
    </xf>
    <xf numFmtId="164" fontId="35" fillId="0" borderId="43" xfId="0" applyNumberFormat="1" applyFont="1" applyBorder="1" applyAlignment="1">
      <alignment horizontal="center" vertical="center"/>
    </xf>
    <xf numFmtId="1" fontId="35" fillId="0" borderId="43" xfId="0" applyNumberFormat="1" applyFont="1" applyBorder="1" applyAlignment="1">
      <alignment horizontal="center" vertical="center"/>
    </xf>
    <xf numFmtId="2" fontId="42" fillId="0" borderId="30" xfId="0" applyNumberFormat="1" applyFont="1" applyBorder="1" applyAlignment="1">
      <alignment horizontal="center" vertical="center"/>
    </xf>
    <xf numFmtId="2" fontId="40" fillId="0" borderId="41" xfId="0" applyNumberFormat="1" applyFont="1" applyBorder="1" applyAlignment="1">
      <alignment horizontal="center" vertical="center"/>
    </xf>
    <xf numFmtId="1" fontId="40" fillId="0" borderId="41" xfId="0" applyNumberFormat="1" applyFont="1" applyBorder="1" applyAlignment="1">
      <alignment horizontal="center" vertical="center"/>
    </xf>
    <xf numFmtId="0" fontId="35" fillId="2" borderId="0" xfId="0" applyFont="1" applyFill="1" applyAlignment="1">
      <alignment vertical="center"/>
    </xf>
    <xf numFmtId="0" fontId="34" fillId="7" borderId="0" xfId="0" applyFont="1" applyFill="1" applyAlignment="1">
      <alignment horizontal="center" vertical="center"/>
    </xf>
    <xf numFmtId="0" fontId="34" fillId="2" borderId="73" xfId="0" applyFont="1" applyFill="1" applyBorder="1" applyAlignment="1">
      <alignment horizontal="center" vertical="center"/>
    </xf>
    <xf numFmtId="0" fontId="24" fillId="2" borderId="73" xfId="0" applyFont="1" applyFill="1" applyBorder="1" applyAlignment="1">
      <alignment vertical="center" wrapText="1"/>
    </xf>
    <xf numFmtId="0" fontId="24" fillId="2" borderId="15" xfId="0" applyFont="1" applyFill="1" applyBorder="1" applyAlignment="1">
      <alignment vertical="center" wrapText="1"/>
    </xf>
    <xf numFmtId="14" fontId="34" fillId="0" borderId="0" xfId="0" applyNumberFormat="1" applyFont="1" applyAlignment="1">
      <alignment horizontal="center" vertical="center"/>
    </xf>
    <xf numFmtId="0" fontId="44" fillId="0" borderId="6" xfId="0" applyFont="1" applyBorder="1" applyAlignment="1">
      <alignment horizontal="center" vertical="center"/>
    </xf>
    <xf numFmtId="14" fontId="44" fillId="0" borderId="9" xfId="0" applyNumberFormat="1" applyFont="1" applyBorder="1" applyAlignment="1">
      <alignment horizontal="center" vertical="center"/>
    </xf>
    <xf numFmtId="0" fontId="28" fillId="0" borderId="49" xfId="0" applyFont="1" applyBorder="1"/>
    <xf numFmtId="0" fontId="28" fillId="0" borderId="44" xfId="0" applyFont="1" applyBorder="1"/>
    <xf numFmtId="0" fontId="34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 wrapText="1"/>
    </xf>
    <xf numFmtId="0" fontId="28" fillId="0" borderId="55" xfId="0" applyFont="1" applyBorder="1"/>
    <xf numFmtId="0" fontId="35" fillId="2" borderId="76" xfId="0" applyFont="1" applyFill="1" applyBorder="1" applyAlignment="1">
      <alignment vertical="center" wrapText="1"/>
    </xf>
    <xf numFmtId="0" fontId="28" fillId="0" borderId="50" xfId="0" applyFont="1" applyBorder="1"/>
    <xf numFmtId="0" fontId="28" fillId="0" borderId="33" xfId="0" applyFont="1" applyBorder="1"/>
    <xf numFmtId="0" fontId="35" fillId="3" borderId="1" xfId="0" applyFont="1" applyFill="1" applyBorder="1" applyAlignment="1">
      <alignment horizontal="center" vertical="center"/>
    </xf>
    <xf numFmtId="164" fontId="10" fillId="0" borderId="65" xfId="0" applyNumberFormat="1" applyFont="1" applyBorder="1" applyAlignment="1">
      <alignment horizontal="center" vertical="center"/>
    </xf>
    <xf numFmtId="2" fontId="11" fillId="3" borderId="27" xfId="0" applyNumberFormat="1" applyFont="1" applyFill="1" applyBorder="1" applyAlignment="1">
      <alignment horizontal="center" vertical="center"/>
    </xf>
    <xf numFmtId="164" fontId="45" fillId="0" borderId="6" xfId="0" applyNumberFormat="1" applyFont="1" applyBorder="1" applyAlignment="1">
      <alignment horizontal="center" vertical="center"/>
    </xf>
    <xf numFmtId="164" fontId="45" fillId="0" borderId="7" xfId="0" applyNumberFormat="1" applyFont="1" applyBorder="1" applyAlignment="1">
      <alignment horizontal="center" vertical="center"/>
    </xf>
    <xf numFmtId="164" fontId="45" fillId="0" borderId="9" xfId="0" applyNumberFormat="1" applyFont="1" applyBorder="1" applyAlignment="1">
      <alignment horizontal="center" vertical="center"/>
    </xf>
    <xf numFmtId="164" fontId="45" fillId="0" borderId="16" xfId="0" applyNumberFormat="1" applyFont="1" applyBorder="1" applyAlignment="1">
      <alignment horizontal="center" vertical="center"/>
    </xf>
    <xf numFmtId="2" fontId="46" fillId="3" borderId="10" xfId="0" applyNumberFormat="1" applyFont="1" applyFill="1" applyBorder="1" applyAlignment="1">
      <alignment horizontal="center" vertical="center"/>
    </xf>
    <xf numFmtId="164" fontId="47" fillId="0" borderId="0" xfId="0" applyNumberFormat="1" applyFont="1" applyAlignment="1">
      <alignment horizontal="left" vertical="center"/>
    </xf>
    <xf numFmtId="1" fontId="2" fillId="0" borderId="0" xfId="0" applyNumberFormat="1" applyFont="1" applyAlignment="1">
      <alignment horizontal="center" vertical="center"/>
    </xf>
    <xf numFmtId="2" fontId="48" fillId="0" borderId="10" xfId="0" applyNumberFormat="1" applyFont="1" applyBorder="1" applyAlignment="1">
      <alignment horizontal="center" vertical="center"/>
    </xf>
    <xf numFmtId="2" fontId="48" fillId="3" borderId="10" xfId="0" applyNumberFormat="1" applyFont="1" applyFill="1" applyBorder="1" applyAlignment="1">
      <alignment horizontal="center" vertical="center"/>
    </xf>
    <xf numFmtId="164" fontId="10" fillId="3" borderId="65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30" borderId="7" xfId="0" applyNumberFormat="1" applyFont="1" applyFill="1" applyBorder="1" applyAlignment="1">
      <alignment horizontal="center" vertical="center"/>
    </xf>
    <xf numFmtId="164" fontId="10" fillId="30" borderId="9" xfId="0" applyNumberFormat="1" applyFont="1" applyFill="1" applyBorder="1" applyAlignment="1">
      <alignment horizontal="center" vertical="center"/>
    </xf>
    <xf numFmtId="164" fontId="10" fillId="30" borderId="16" xfId="0" applyNumberFormat="1" applyFont="1" applyFill="1" applyBorder="1" applyAlignment="1">
      <alignment horizontal="center" vertical="center"/>
    </xf>
    <xf numFmtId="164" fontId="10" fillId="30" borderId="8" xfId="0" applyNumberFormat="1" applyFont="1" applyFill="1" applyBorder="1" applyAlignment="1">
      <alignment horizontal="center" vertical="center"/>
    </xf>
    <xf numFmtId="164" fontId="10" fillId="30" borderId="64" xfId="0" applyNumberFormat="1" applyFont="1" applyFill="1" applyBorder="1" applyAlignment="1">
      <alignment horizontal="center" vertical="center"/>
    </xf>
    <xf numFmtId="164" fontId="10" fillId="30" borderId="66" xfId="0" applyNumberFormat="1" applyFont="1" applyFill="1" applyBorder="1" applyAlignment="1">
      <alignment horizontal="center" vertical="center"/>
    </xf>
    <xf numFmtId="164" fontId="10" fillId="30" borderId="65" xfId="0" applyNumberFormat="1" applyFont="1" applyFill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26" xfId="0" applyNumberFormat="1" applyFont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5" fontId="11" fillId="0" borderId="59" xfId="0" applyNumberFormat="1" applyFont="1" applyBorder="1" applyAlignment="1">
      <alignment horizontal="center" vertical="center"/>
    </xf>
    <xf numFmtId="165" fontId="11" fillId="0" borderId="54" xfId="0" applyNumberFormat="1" applyFont="1" applyBorder="1" applyAlignment="1">
      <alignment horizontal="center" vertical="center"/>
    </xf>
    <xf numFmtId="165" fontId="11" fillId="0" borderId="60" xfId="0" applyNumberFormat="1" applyFont="1" applyBorder="1" applyAlignment="1">
      <alignment horizontal="center" vertical="center"/>
    </xf>
    <xf numFmtId="0" fontId="6" fillId="18" borderId="41" xfId="0" applyFont="1" applyFill="1" applyBorder="1" applyAlignment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2" fontId="25" fillId="0" borderId="0" xfId="0" applyNumberFormat="1" applyFont="1" applyAlignment="1">
      <alignment horizontal="center" vertical="center"/>
    </xf>
    <xf numFmtId="164" fontId="10" fillId="0" borderId="0" xfId="0" applyNumberFormat="1" applyFont="1" applyAlignment="1">
      <alignment vertical="center"/>
    </xf>
    <xf numFmtId="164" fontId="10" fillId="30" borderId="21" xfId="0" applyNumberFormat="1" applyFont="1" applyFill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0" fontId="6" fillId="18" borderId="24" xfId="0" applyFont="1" applyFill="1" applyBorder="1" applyAlignment="1">
      <alignment horizontal="center" vertical="center"/>
    </xf>
    <xf numFmtId="164" fontId="10" fillId="30" borderId="62" xfId="0" applyNumberFormat="1" applyFont="1" applyFill="1" applyBorder="1" applyAlignment="1">
      <alignment horizontal="center" vertical="center"/>
    </xf>
    <xf numFmtId="164" fontId="10" fillId="30" borderId="69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3" borderId="13" xfId="0" applyNumberFormat="1" applyFont="1" applyFill="1" applyBorder="1" applyAlignment="1">
      <alignment horizontal="center" vertical="center"/>
    </xf>
    <xf numFmtId="164" fontId="10" fillId="3" borderId="14" xfId="0" applyNumberFormat="1" applyFont="1" applyFill="1" applyBorder="1" applyAlignment="1">
      <alignment horizontal="center" vertical="center"/>
    </xf>
    <xf numFmtId="164" fontId="10" fillId="30" borderId="38" xfId="0" applyNumberFormat="1" applyFont="1" applyFill="1" applyBorder="1" applyAlignment="1">
      <alignment horizontal="center" vertical="center"/>
    </xf>
    <xf numFmtId="164" fontId="10" fillId="30" borderId="39" xfId="0" applyNumberFormat="1" applyFont="1" applyFill="1" applyBorder="1" applyAlignment="1">
      <alignment horizontal="center" vertical="center"/>
    </xf>
    <xf numFmtId="164" fontId="10" fillId="30" borderId="40" xfId="0" applyNumberFormat="1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31" fillId="0" borderId="57" xfId="0" applyFont="1" applyBorder="1" applyAlignment="1">
      <alignment horizontal="center" vertical="center"/>
    </xf>
    <xf numFmtId="164" fontId="10" fillId="30" borderId="75" xfId="0" applyNumberFormat="1" applyFont="1" applyFill="1" applyBorder="1" applyAlignment="1">
      <alignment horizontal="center" vertical="center"/>
    </xf>
    <xf numFmtId="164" fontId="10" fillId="30" borderId="26" xfId="0" applyNumberFormat="1" applyFont="1" applyFill="1" applyBorder="1" applyAlignment="1">
      <alignment horizontal="center" vertical="center"/>
    </xf>
    <xf numFmtId="0" fontId="31" fillId="0" borderId="41" xfId="0" applyFont="1" applyBorder="1" applyAlignment="1">
      <alignment horizontal="center" vertical="center"/>
    </xf>
    <xf numFmtId="164" fontId="10" fillId="30" borderId="77" xfId="0" applyNumberFormat="1" applyFont="1" applyFill="1" applyBorder="1" applyAlignment="1">
      <alignment horizontal="center" vertical="center"/>
    </xf>
    <xf numFmtId="164" fontId="10" fillId="30" borderId="30" xfId="0" applyNumberFormat="1" applyFont="1" applyFill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165" fontId="11" fillId="0" borderId="20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2" fontId="11" fillId="3" borderId="4" xfId="0" applyNumberFormat="1" applyFont="1" applyFill="1" applyBorder="1" applyAlignment="1">
      <alignment horizontal="center" vertical="center"/>
    </xf>
    <xf numFmtId="2" fontId="26" fillId="0" borderId="0" xfId="0" applyNumberFormat="1" applyFont="1" applyAlignment="1">
      <alignment horizontal="center" vertical="center"/>
    </xf>
    <xf numFmtId="2" fontId="26" fillId="3" borderId="0" xfId="0" applyNumberFormat="1" applyFont="1" applyFill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164" fontId="2" fillId="31" borderId="0" xfId="0" applyNumberFormat="1" applyFont="1" applyFill="1" applyAlignment="1">
      <alignment horizontal="center" vertical="center"/>
    </xf>
    <xf numFmtId="164" fontId="10" fillId="7" borderId="64" xfId="0" applyNumberFormat="1" applyFont="1" applyFill="1" applyBorder="1" applyAlignment="1">
      <alignment horizontal="center" vertical="center"/>
    </xf>
    <xf numFmtId="0" fontId="50" fillId="0" borderId="0" xfId="0" applyFont="1" applyAlignment="1">
      <alignment horizontal="center" vertical="center"/>
    </xf>
    <xf numFmtId="0" fontId="51" fillId="0" borderId="0" xfId="0" applyFont="1" applyAlignment="1">
      <alignment horizontal="center" vertical="center"/>
    </xf>
    <xf numFmtId="1" fontId="15" fillId="0" borderId="0" xfId="0" applyNumberFormat="1" applyFont="1" applyAlignment="1">
      <alignment horizontal="center" vertical="center"/>
    </xf>
    <xf numFmtId="164" fontId="10" fillId="7" borderId="38" xfId="0" applyNumberFormat="1" applyFont="1" applyFill="1" applyBorder="1" applyAlignment="1">
      <alignment horizontal="center" vertical="center"/>
    </xf>
    <xf numFmtId="164" fontId="10" fillId="7" borderId="39" xfId="0" applyNumberFormat="1" applyFont="1" applyFill="1" applyBorder="1" applyAlignment="1">
      <alignment horizontal="center" vertical="center"/>
    </xf>
    <xf numFmtId="2" fontId="11" fillId="7" borderId="22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7" borderId="66" xfId="0" applyNumberFormat="1" applyFont="1" applyFill="1" applyBorder="1" applyAlignment="1">
      <alignment horizontal="center" vertical="center"/>
    </xf>
    <xf numFmtId="164" fontId="10" fillId="7" borderId="77" xfId="0" applyNumberFormat="1" applyFont="1" applyFill="1" applyBorder="1" applyAlignment="1">
      <alignment horizontal="center" vertical="center"/>
    </xf>
    <xf numFmtId="164" fontId="10" fillId="7" borderId="75" xfId="0" applyNumberFormat="1" applyFont="1" applyFill="1" applyBorder="1" applyAlignment="1">
      <alignment horizontal="center" vertical="center"/>
    </xf>
    <xf numFmtId="164" fontId="10" fillId="7" borderId="62" xfId="0" applyNumberFormat="1" applyFont="1" applyFill="1" applyBorder="1" applyAlignment="1">
      <alignment horizontal="center" vertical="center"/>
    </xf>
    <xf numFmtId="164" fontId="10" fillId="7" borderId="69" xfId="0" applyNumberFormat="1" applyFont="1" applyFill="1" applyBorder="1" applyAlignment="1">
      <alignment horizontal="center" vertical="center"/>
    </xf>
    <xf numFmtId="164" fontId="10" fillId="7" borderId="30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32" borderId="40" xfId="0" applyNumberFormat="1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2" fontId="11" fillId="7" borderId="4" xfId="0" applyNumberFormat="1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164" fontId="10" fillId="7" borderId="45" xfId="0" applyNumberFormat="1" applyFont="1" applyFill="1" applyBorder="1" applyAlignment="1">
      <alignment horizontal="center" vertical="center"/>
    </xf>
    <xf numFmtId="164" fontId="10" fillId="7" borderId="18" xfId="0" applyNumberFormat="1" applyFont="1" applyFill="1" applyBorder="1" applyAlignment="1">
      <alignment horizontal="center" vertical="center"/>
    </xf>
    <xf numFmtId="164" fontId="10" fillId="7" borderId="19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7" borderId="14" xfId="0" applyNumberFormat="1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164" fontId="10" fillId="7" borderId="21" xfId="0" applyNumberFormat="1" applyFont="1" applyFill="1" applyBorder="1" applyAlignment="1">
      <alignment horizontal="center" vertical="center"/>
    </xf>
    <xf numFmtId="164" fontId="10" fillId="7" borderId="22" xfId="0" applyNumberFormat="1" applyFont="1" applyFill="1" applyBorder="1" applyAlignment="1">
      <alignment horizontal="center" vertical="center"/>
    </xf>
    <xf numFmtId="164" fontId="10" fillId="7" borderId="4" xfId="0" applyNumberFormat="1" applyFont="1" applyFill="1" applyBorder="1" applyAlignment="1">
      <alignment horizontal="center" vertical="center"/>
    </xf>
    <xf numFmtId="164" fontId="10" fillId="7" borderId="10" xfId="0" applyNumberFormat="1" applyFont="1" applyFill="1" applyBorder="1" applyAlignment="1">
      <alignment horizontal="center" vertical="center"/>
    </xf>
    <xf numFmtId="165" fontId="11" fillId="0" borderId="27" xfId="0" applyNumberFormat="1" applyFont="1" applyBorder="1" applyAlignment="1">
      <alignment horizontal="center" vertical="center"/>
    </xf>
    <xf numFmtId="164" fontId="10" fillId="7" borderId="2" xfId="0" applyNumberFormat="1" applyFont="1" applyFill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0" fontId="2" fillId="5" borderId="65" xfId="0" applyFont="1" applyFill="1" applyBorder="1" applyAlignment="1">
      <alignment horizontal="center" vertical="center"/>
    </xf>
    <xf numFmtId="0" fontId="2" fillId="5" borderId="64" xfId="0" applyFont="1" applyFill="1" applyBorder="1" applyAlignment="1">
      <alignment horizontal="center" vertical="center"/>
    </xf>
    <xf numFmtId="164" fontId="2" fillId="0" borderId="45" xfId="0" applyNumberFormat="1" applyFont="1" applyBorder="1" applyAlignment="1">
      <alignment horizontal="center" vertical="center"/>
    </xf>
    <xf numFmtId="164" fontId="2" fillId="0" borderId="18" xfId="0" applyNumberFormat="1" applyFont="1" applyBorder="1" applyAlignment="1">
      <alignment horizontal="center" vertical="center"/>
    </xf>
    <xf numFmtId="164" fontId="45" fillId="3" borderId="6" xfId="0" applyNumberFormat="1" applyFont="1" applyFill="1" applyBorder="1" applyAlignment="1">
      <alignment horizontal="center" vertical="center"/>
    </xf>
    <xf numFmtId="164" fontId="45" fillId="3" borderId="7" xfId="0" applyNumberFormat="1" applyFont="1" applyFill="1" applyBorder="1" applyAlignment="1">
      <alignment horizontal="center" vertical="center"/>
    </xf>
    <xf numFmtId="164" fontId="45" fillId="7" borderId="7" xfId="0" applyNumberFormat="1" applyFont="1" applyFill="1" applyBorder="1" applyAlignment="1">
      <alignment horizontal="center" vertical="center"/>
    </xf>
    <xf numFmtId="164" fontId="45" fillId="3" borderId="9" xfId="0" applyNumberFormat="1" applyFont="1" applyFill="1" applyBorder="1" applyAlignment="1">
      <alignment horizontal="center" vertical="center"/>
    </xf>
    <xf numFmtId="164" fontId="45" fillId="7" borderId="16" xfId="0" applyNumberFormat="1" applyFont="1" applyFill="1" applyBorder="1" applyAlignment="1">
      <alignment horizontal="center" vertical="center"/>
    </xf>
    <xf numFmtId="164" fontId="45" fillId="7" borderId="6" xfId="0" applyNumberFormat="1" applyFont="1" applyFill="1" applyBorder="1" applyAlignment="1">
      <alignment horizontal="center" vertical="center"/>
    </xf>
    <xf numFmtId="164" fontId="45" fillId="7" borderId="9" xfId="0" applyNumberFormat="1" applyFont="1" applyFill="1" applyBorder="1" applyAlignment="1">
      <alignment horizontal="center" vertical="center"/>
    </xf>
    <xf numFmtId="164" fontId="45" fillId="16" borderId="7" xfId="0" applyNumberFormat="1" applyFont="1" applyFill="1" applyBorder="1" applyAlignment="1">
      <alignment horizontal="center" vertical="center"/>
    </xf>
    <xf numFmtId="0" fontId="52" fillId="0" borderId="0" xfId="0" applyFont="1" applyAlignment="1">
      <alignment horizontal="center" vertical="center"/>
    </xf>
    <xf numFmtId="2" fontId="47" fillId="0" borderId="0" xfId="0" applyNumberFormat="1" applyFont="1" applyAlignment="1">
      <alignment horizontal="center" vertical="center"/>
    </xf>
    <xf numFmtId="1" fontId="25" fillId="3" borderId="0" xfId="0" applyNumberFormat="1" applyFont="1" applyFill="1" applyAlignment="1">
      <alignment horizontal="center" vertical="center"/>
    </xf>
    <xf numFmtId="1" fontId="25" fillId="16" borderId="0" xfId="0" applyNumberFormat="1" applyFont="1" applyFill="1" applyAlignment="1">
      <alignment horizontal="center" vertical="center"/>
    </xf>
    <xf numFmtId="1" fontId="25" fillId="19" borderId="0" xfId="0" applyNumberFormat="1" applyFont="1" applyFill="1" applyAlignment="1">
      <alignment horizontal="center" vertical="center"/>
    </xf>
    <xf numFmtId="1" fontId="25" fillId="33" borderId="0" xfId="0" applyNumberFormat="1" applyFont="1" applyFill="1" applyAlignment="1">
      <alignment horizontal="center" vertical="center"/>
    </xf>
    <xf numFmtId="1" fontId="25" fillId="23" borderId="0" xfId="0" applyNumberFormat="1" applyFont="1" applyFill="1" applyAlignment="1">
      <alignment horizontal="center" vertical="center"/>
    </xf>
    <xf numFmtId="1" fontId="25" fillId="9" borderId="0" xfId="0" applyNumberFormat="1" applyFont="1" applyFill="1" applyAlignment="1">
      <alignment horizontal="center" vertical="center"/>
    </xf>
    <xf numFmtId="1" fontId="25" fillId="34" borderId="0" xfId="0" applyNumberFormat="1" applyFont="1" applyFill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2" fontId="11" fillId="7" borderId="15" xfId="0" applyNumberFormat="1" applyFont="1" applyFill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165" fontId="11" fillId="0" borderId="62" xfId="0" applyNumberFormat="1" applyFont="1" applyBorder="1" applyAlignment="1">
      <alignment horizontal="center" vertical="center"/>
    </xf>
    <xf numFmtId="165" fontId="11" fillId="0" borderId="63" xfId="0" applyNumberFormat="1" applyFont="1" applyBorder="1" applyAlignment="1">
      <alignment horizontal="center" vertical="center"/>
    </xf>
    <xf numFmtId="164" fontId="45" fillId="7" borderId="45" xfId="0" applyNumberFormat="1" applyFont="1" applyFill="1" applyBorder="1" applyAlignment="1">
      <alignment horizontal="center" vertical="center"/>
    </xf>
    <xf numFmtId="164" fontId="45" fillId="16" borderId="18" xfId="0" applyNumberFormat="1" applyFont="1" applyFill="1" applyBorder="1" applyAlignment="1">
      <alignment horizontal="center" vertical="center"/>
    </xf>
    <xf numFmtId="164" fontId="45" fillId="7" borderId="18" xfId="0" applyNumberFormat="1" applyFont="1" applyFill="1" applyBorder="1" applyAlignment="1">
      <alignment horizontal="center" vertical="center"/>
    </xf>
    <xf numFmtId="164" fontId="45" fillId="3" borderId="18" xfId="0" applyNumberFormat="1" applyFont="1" applyFill="1" applyBorder="1" applyAlignment="1">
      <alignment horizontal="center" vertical="center"/>
    </xf>
    <xf numFmtId="164" fontId="45" fillId="7" borderId="19" xfId="0" applyNumberFormat="1" applyFont="1" applyFill="1" applyBorder="1" applyAlignment="1">
      <alignment horizontal="center" vertical="center"/>
    </xf>
    <xf numFmtId="164" fontId="53" fillId="7" borderId="45" xfId="0" applyNumberFormat="1" applyFont="1" applyFill="1" applyBorder="1" applyAlignment="1">
      <alignment horizontal="center" vertical="center"/>
    </xf>
    <xf numFmtId="164" fontId="53" fillId="7" borderId="18" xfId="0" applyNumberFormat="1" applyFont="1" applyFill="1" applyBorder="1" applyAlignment="1">
      <alignment horizontal="center" vertical="center"/>
    </xf>
    <xf numFmtId="164" fontId="53" fillId="7" borderId="19" xfId="0" applyNumberFormat="1" applyFont="1" applyFill="1" applyBorder="1" applyAlignment="1">
      <alignment horizontal="center" vertical="center"/>
    </xf>
    <xf numFmtId="164" fontId="53" fillId="0" borderId="7" xfId="0" applyNumberFormat="1" applyFont="1" applyBorder="1" applyAlignment="1">
      <alignment horizontal="center" vertical="center"/>
    </xf>
    <xf numFmtId="164" fontId="53" fillId="0" borderId="9" xfId="0" applyNumberFormat="1" applyFont="1" applyBorder="1" applyAlignment="1">
      <alignment horizontal="center" vertical="center"/>
    </xf>
    <xf numFmtId="164" fontId="53" fillId="3" borderId="6" xfId="0" applyNumberFormat="1" applyFont="1" applyFill="1" applyBorder="1" applyAlignment="1">
      <alignment horizontal="center" vertical="center"/>
    </xf>
    <xf numFmtId="164" fontId="53" fillId="30" borderId="6" xfId="0" applyNumberFormat="1" applyFont="1" applyFill="1" applyBorder="1" applyAlignment="1">
      <alignment horizontal="center" vertical="center"/>
    </xf>
    <xf numFmtId="164" fontId="53" fillId="3" borderId="7" xfId="0" applyNumberFormat="1" applyFont="1" applyFill="1" applyBorder="1" applyAlignment="1">
      <alignment horizontal="center" vertical="center"/>
    </xf>
    <xf numFmtId="164" fontId="53" fillId="3" borderId="18" xfId="0" applyNumberFormat="1" applyFont="1" applyFill="1" applyBorder="1" applyAlignment="1">
      <alignment horizontal="center" vertical="center"/>
    </xf>
    <xf numFmtId="164" fontId="53" fillId="7" borderId="7" xfId="0" applyNumberFormat="1" applyFont="1" applyFill="1" applyBorder="1" applyAlignment="1">
      <alignment horizontal="center" vertical="center"/>
    </xf>
    <xf numFmtId="2" fontId="11" fillId="3" borderId="15" xfId="0" applyNumberFormat="1" applyFont="1" applyFill="1" applyBorder="1" applyAlignment="1">
      <alignment horizontal="center" vertical="center"/>
    </xf>
    <xf numFmtId="164" fontId="53" fillId="30" borderId="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35" fillId="0" borderId="41" xfId="0" applyNumberFormat="1" applyFont="1" applyBorder="1" applyAlignment="1">
      <alignment horizontal="center" vertical="center"/>
    </xf>
    <xf numFmtId="164" fontId="35" fillId="2" borderId="35" xfId="0" applyNumberFormat="1" applyFont="1" applyFill="1" applyBorder="1" applyAlignment="1">
      <alignment horizontal="center" vertical="center"/>
    </xf>
    <xf numFmtId="164" fontId="35" fillId="2" borderId="36" xfId="0" applyNumberFormat="1" applyFont="1" applyFill="1" applyBorder="1" applyAlignment="1">
      <alignment horizontal="center" vertical="center"/>
    </xf>
    <xf numFmtId="1" fontId="35" fillId="2" borderId="43" xfId="0" applyNumberFormat="1" applyFont="1" applyFill="1" applyBorder="1" applyAlignment="1">
      <alignment horizontal="center" vertical="center"/>
    </xf>
    <xf numFmtId="1" fontId="41" fillId="7" borderId="74" xfId="0" applyNumberFormat="1" applyFont="1" applyFill="1" applyBorder="1" applyAlignment="1">
      <alignment horizontal="center" vertical="center"/>
    </xf>
    <xf numFmtId="164" fontId="35" fillId="0" borderId="21" xfId="0" applyNumberFormat="1" applyFont="1" applyBorder="1" applyAlignment="1">
      <alignment horizontal="center" vertical="center"/>
    </xf>
    <xf numFmtId="164" fontId="35" fillId="0" borderId="4" xfId="0" applyNumberFormat="1" applyFont="1" applyBorder="1" applyAlignment="1">
      <alignment horizontal="center" vertical="center"/>
    </xf>
    <xf numFmtId="164" fontId="35" fillId="0" borderId="10" xfId="0" applyNumberFormat="1" applyFont="1" applyBorder="1" applyAlignment="1">
      <alignment horizontal="center" vertical="center"/>
    </xf>
    <xf numFmtId="164" fontId="35" fillId="0" borderId="31" xfId="0" applyNumberFormat="1" applyFont="1" applyBorder="1" applyAlignment="1">
      <alignment horizontal="center" vertical="center"/>
    </xf>
    <xf numFmtId="164" fontId="41" fillId="7" borderId="43" xfId="0" applyNumberFormat="1" applyFont="1" applyFill="1" applyBorder="1" applyAlignment="1">
      <alignment horizontal="center" vertical="center"/>
    </xf>
    <xf numFmtId="164" fontId="35" fillId="0" borderId="35" xfId="0" applyNumberFormat="1" applyFont="1" applyBorder="1" applyAlignment="1">
      <alignment horizontal="center" vertical="center"/>
    </xf>
    <xf numFmtId="164" fontId="35" fillId="0" borderId="36" xfId="0" applyNumberFormat="1" applyFont="1" applyBorder="1" applyAlignment="1">
      <alignment horizontal="center" vertical="center"/>
    </xf>
    <xf numFmtId="164" fontId="35" fillId="0" borderId="37" xfId="0" applyNumberFormat="1" applyFont="1" applyBorder="1" applyAlignment="1">
      <alignment horizontal="center" vertical="center"/>
    </xf>
    <xf numFmtId="1" fontId="10" fillId="30" borderId="35" xfId="0" applyNumberFormat="1" applyFont="1" applyFill="1" applyBorder="1" applyAlignment="1">
      <alignment horizontal="center" vertical="center"/>
    </xf>
    <xf numFmtId="1" fontId="10" fillId="30" borderId="36" xfId="0" applyNumberFormat="1" applyFont="1" applyFill="1" applyBorder="1" applyAlignment="1">
      <alignment horizontal="center" vertical="center"/>
    </xf>
    <xf numFmtId="1" fontId="10" fillId="30" borderId="37" xfId="0" applyNumberFormat="1" applyFont="1" applyFill="1" applyBorder="1" applyAlignment="1">
      <alignment horizontal="center" vertical="center"/>
    </xf>
    <xf numFmtId="0" fontId="2" fillId="30" borderId="36" xfId="0" applyFont="1" applyFill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" fontId="10" fillId="30" borderId="56" xfId="0" applyNumberFormat="1" applyFont="1" applyFill="1" applyBorder="1" applyAlignment="1">
      <alignment horizontal="center" vertical="center"/>
    </xf>
    <xf numFmtId="1" fontId="10" fillId="30" borderId="13" xfId="0" applyNumberFormat="1" applyFont="1" applyFill="1" applyBorder="1" applyAlignment="1">
      <alignment horizontal="center" vertical="center"/>
    </xf>
    <xf numFmtId="1" fontId="10" fillId="30" borderId="14" xfId="0" applyNumberFormat="1" applyFont="1" applyFill="1" applyBorder="1" applyAlignment="1">
      <alignment horizontal="center" vertical="center"/>
    </xf>
    <xf numFmtId="1" fontId="10" fillId="30" borderId="23" xfId="0" applyNumberFormat="1" applyFont="1" applyFill="1" applyBorder="1" applyAlignment="1">
      <alignment horizontal="center" vertical="center"/>
    </xf>
    <xf numFmtId="1" fontId="10" fillId="30" borderId="58" xfId="0" applyNumberFormat="1" applyFont="1" applyFill="1" applyBorder="1" applyAlignment="1">
      <alignment horizontal="center" vertical="center"/>
    </xf>
    <xf numFmtId="165" fontId="54" fillId="0" borderId="35" xfId="0" applyNumberFormat="1" applyFont="1" applyBorder="1" applyAlignment="1">
      <alignment horizontal="center" vertical="center"/>
    </xf>
    <xf numFmtId="165" fontId="54" fillId="0" borderId="36" xfId="0" applyNumberFormat="1" applyFont="1" applyBorder="1" applyAlignment="1">
      <alignment horizontal="center" vertical="center"/>
    </xf>
    <xf numFmtId="165" fontId="54" fillId="0" borderId="56" xfId="0" applyNumberFormat="1" applyFont="1" applyBorder="1" applyAlignment="1">
      <alignment horizontal="center" vertical="center"/>
    </xf>
    <xf numFmtId="164" fontId="10" fillId="32" borderId="7" xfId="0" applyNumberFormat="1" applyFont="1" applyFill="1" applyBorder="1" applyAlignment="1">
      <alignment horizontal="center" vertical="center"/>
    </xf>
    <xf numFmtId="164" fontId="10" fillId="17" borderId="7" xfId="0" applyNumberFormat="1" applyFont="1" applyFill="1" applyBorder="1" applyAlignment="1">
      <alignment horizontal="center" vertical="center"/>
    </xf>
    <xf numFmtId="164" fontId="10" fillId="32" borderId="9" xfId="0" applyNumberFormat="1" applyFont="1" applyFill="1" applyBorder="1" applyAlignment="1">
      <alignment horizontal="center" vertical="center"/>
    </xf>
    <xf numFmtId="164" fontId="53" fillId="13" borderId="7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0" borderId="9" xfId="0" applyNumberFormat="1" applyFont="1" applyFill="1" applyBorder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10" fillId="0" borderId="6" xfId="0" applyNumberFormat="1" applyFont="1" applyFill="1" applyBorder="1" applyAlignment="1">
      <alignment horizontal="center" vertical="center"/>
    </xf>
    <xf numFmtId="164" fontId="10" fillId="0" borderId="7" xfId="0" applyNumberFormat="1" applyFont="1" applyFill="1" applyBorder="1" applyAlignment="1">
      <alignment horizontal="center" vertical="center"/>
    </xf>
    <xf numFmtId="164" fontId="10" fillId="0" borderId="16" xfId="0" applyNumberFormat="1" applyFont="1" applyFill="1" applyBorder="1" applyAlignment="1">
      <alignment horizontal="center" vertical="center"/>
    </xf>
    <xf numFmtId="164" fontId="53" fillId="0" borderId="7" xfId="0" applyNumberFormat="1" applyFont="1" applyFill="1" applyBorder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2" fontId="25" fillId="0" borderId="0" xfId="0" applyNumberFormat="1" applyFont="1" applyFill="1" applyAlignment="1">
      <alignment horizontal="center" vertical="center"/>
    </xf>
    <xf numFmtId="164" fontId="27" fillId="17" borderId="0" xfId="0" applyNumberFormat="1" applyFont="1" applyFill="1" applyAlignment="1">
      <alignment horizontal="center" vertical="center"/>
    </xf>
    <xf numFmtId="164" fontId="35" fillId="0" borderId="56" xfId="0" applyNumberFormat="1" applyFont="1" applyBorder="1" applyAlignment="1">
      <alignment horizontal="center" vertical="center"/>
    </xf>
    <xf numFmtId="0" fontId="2" fillId="30" borderId="56" xfId="0" applyFont="1" applyFill="1" applyBorder="1" applyAlignment="1">
      <alignment horizontal="center" vertical="center"/>
    </xf>
    <xf numFmtId="1" fontId="35" fillId="0" borderId="41" xfId="0" applyNumberFormat="1" applyFont="1" applyBorder="1" applyAlignment="1">
      <alignment horizontal="center" vertical="center"/>
    </xf>
    <xf numFmtId="0" fontId="16" fillId="0" borderId="5" xfId="0" applyFont="1" applyFill="1" applyBorder="1" applyAlignment="1">
      <alignment horizontal="center" vertical="center"/>
    </xf>
    <xf numFmtId="164" fontId="10" fillId="7" borderId="40" xfId="0" applyNumberFormat="1" applyFont="1" applyFill="1" applyBorder="1" applyAlignment="1">
      <alignment horizontal="center" vertical="center"/>
    </xf>
    <xf numFmtId="0" fontId="57" fillId="35" borderId="20" xfId="0" applyFont="1" applyFill="1" applyBorder="1" applyAlignment="1">
      <alignment horizontal="center" vertical="center"/>
    </xf>
    <xf numFmtId="0" fontId="58" fillId="17" borderId="21" xfId="0" applyFont="1" applyFill="1" applyBorder="1" applyAlignment="1">
      <alignment horizontal="center" vertical="center"/>
    </xf>
    <xf numFmtId="0" fontId="58" fillId="17" borderId="22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60" fillId="2" borderId="0" xfId="0" applyFont="1" applyFill="1" applyAlignment="1">
      <alignment horizontal="center" vertical="center"/>
    </xf>
    <xf numFmtId="0" fontId="59" fillId="2" borderId="0" xfId="0" applyFont="1" applyFill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1" fillId="2" borderId="0" xfId="0" applyFont="1" applyFill="1" applyAlignment="1">
      <alignment horizontal="center" vertical="center"/>
    </xf>
    <xf numFmtId="0" fontId="62" fillId="2" borderId="41" xfId="0" applyFont="1" applyFill="1" applyBorder="1" applyAlignment="1">
      <alignment horizontal="center" vertical="center"/>
    </xf>
    <xf numFmtId="0" fontId="60" fillId="7" borderId="43" xfId="0" applyFont="1" applyFill="1" applyBorder="1" applyAlignment="1">
      <alignment vertical="center"/>
    </xf>
    <xf numFmtId="0" fontId="56" fillId="0" borderId="0" xfId="0" applyFont="1" applyAlignment="1">
      <alignment horizontal="center" vertical="center"/>
    </xf>
    <xf numFmtId="0" fontId="60" fillId="0" borderId="2" xfId="0" applyFont="1" applyBorder="1" applyAlignment="1">
      <alignment horizontal="center" vertical="center"/>
    </xf>
    <xf numFmtId="0" fontId="63" fillId="0" borderId="35" xfId="0" applyFont="1" applyBorder="1" applyAlignment="1">
      <alignment horizontal="center" vertical="center"/>
    </xf>
    <xf numFmtId="0" fontId="63" fillId="0" borderId="36" xfId="0" applyFont="1" applyBorder="1" applyAlignment="1">
      <alignment horizontal="center" vertical="center"/>
    </xf>
    <xf numFmtId="0" fontId="63" fillId="0" borderId="37" xfId="0" applyFont="1" applyBorder="1" applyAlignment="1">
      <alignment horizontal="center" vertical="center"/>
    </xf>
    <xf numFmtId="0" fontId="63" fillId="0" borderId="26" xfId="0" applyFont="1" applyBorder="1" applyAlignment="1">
      <alignment horizontal="center" vertical="center"/>
    </xf>
    <xf numFmtId="0" fontId="63" fillId="0" borderId="64" xfId="0" applyFont="1" applyBorder="1" applyAlignment="1">
      <alignment horizontal="center" vertical="center"/>
    </xf>
    <xf numFmtId="0" fontId="63" fillId="0" borderId="66" xfId="0" applyFont="1" applyBorder="1" applyAlignment="1">
      <alignment horizontal="center" vertical="center"/>
    </xf>
    <xf numFmtId="0" fontId="63" fillId="0" borderId="59" xfId="0" applyFont="1" applyBorder="1" applyAlignment="1">
      <alignment horizontal="center" vertical="center"/>
    </xf>
    <xf numFmtId="0" fontId="63" fillId="0" borderId="54" xfId="0" applyFont="1" applyBorder="1" applyAlignment="1">
      <alignment horizontal="center" vertical="center"/>
    </xf>
    <xf numFmtId="0" fontId="63" fillId="0" borderId="60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2" fontId="55" fillId="0" borderId="0" xfId="0" applyNumberFormat="1" applyFont="1" applyAlignment="1">
      <alignment horizontal="center" vertical="center"/>
    </xf>
    <xf numFmtId="0" fontId="60" fillId="0" borderId="5" xfId="0" applyFont="1" applyBorder="1" applyAlignment="1">
      <alignment horizontal="center" vertical="center"/>
    </xf>
    <xf numFmtId="0" fontId="60" fillId="0" borderId="35" xfId="0" applyFont="1" applyBorder="1" applyAlignment="1">
      <alignment horizontal="center" vertical="center"/>
    </xf>
    <xf numFmtId="0" fontId="60" fillId="0" borderId="36" xfId="0" applyFont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4" xfId="0" applyFont="1" applyBorder="1" applyAlignment="1">
      <alignment horizontal="center" vertical="center"/>
    </xf>
    <xf numFmtId="1" fontId="0" fillId="3" borderId="0" xfId="0" applyNumberFormat="1" applyFont="1" applyFill="1" applyAlignment="1">
      <alignment horizontal="center" vertical="center"/>
    </xf>
    <xf numFmtId="0" fontId="60" fillId="2" borderId="5" xfId="0" applyFont="1" applyFill="1" applyBorder="1" applyAlignment="1">
      <alignment horizontal="center" vertical="center"/>
    </xf>
    <xf numFmtId="164" fontId="59" fillId="0" borderId="6" xfId="0" applyNumberFormat="1" applyFont="1" applyFill="1" applyBorder="1" applyAlignment="1">
      <alignment horizontal="center" vertical="center"/>
    </xf>
    <xf numFmtId="164" fontId="59" fillId="0" borderId="7" xfId="0" applyNumberFormat="1" applyFont="1" applyFill="1" applyBorder="1" applyAlignment="1">
      <alignment horizontal="center" vertical="center"/>
    </xf>
    <xf numFmtId="164" fontId="59" fillId="30" borderId="7" xfId="0" applyNumberFormat="1" applyFont="1" applyFill="1" applyBorder="1" applyAlignment="1">
      <alignment horizontal="center" vertical="center"/>
    </xf>
    <xf numFmtId="164" fontId="59" fillId="0" borderId="9" xfId="0" applyNumberFormat="1" applyFont="1" applyFill="1" applyBorder="1" applyAlignment="1">
      <alignment horizontal="center" vertical="center"/>
    </xf>
    <xf numFmtId="164" fontId="59" fillId="0" borderId="16" xfId="0" applyNumberFormat="1" applyFont="1" applyFill="1" applyBorder="1" applyAlignment="1">
      <alignment horizontal="center" vertical="center"/>
    </xf>
    <xf numFmtId="164" fontId="59" fillId="3" borderId="7" xfId="0" applyNumberFormat="1" applyFont="1" applyFill="1" applyBorder="1" applyAlignment="1">
      <alignment horizontal="center" vertical="center"/>
    </xf>
    <xf numFmtId="2" fontId="0" fillId="0" borderId="0" xfId="0" applyNumberFormat="1" applyFont="1" applyAlignment="1">
      <alignment horizontal="center" vertical="center"/>
    </xf>
    <xf numFmtId="1" fontId="0" fillId="16" borderId="0" xfId="0" applyNumberFormat="1" applyFont="1" applyFill="1" applyAlignment="1">
      <alignment horizontal="center" vertical="center"/>
    </xf>
    <xf numFmtId="2" fontId="59" fillId="0" borderId="10" xfId="0" applyNumberFormat="1" applyFont="1" applyFill="1" applyBorder="1" applyAlignment="1">
      <alignment horizontal="center" vertical="center"/>
    </xf>
    <xf numFmtId="1" fontId="0" fillId="19" borderId="0" xfId="0" applyNumberFormat="1" applyFont="1" applyFill="1" applyAlignment="1">
      <alignment horizontal="center" vertical="center"/>
    </xf>
    <xf numFmtId="1" fontId="0" fillId="33" borderId="0" xfId="0" applyNumberFormat="1" applyFont="1" applyFill="1" applyAlignment="1">
      <alignment horizontal="center" vertical="center"/>
    </xf>
    <xf numFmtId="0" fontId="60" fillId="0" borderId="5" xfId="0" applyFont="1" applyFill="1" applyBorder="1" applyAlignment="1">
      <alignment horizontal="center" vertical="center"/>
    </xf>
    <xf numFmtId="1" fontId="0" fillId="23" borderId="0" xfId="0" applyNumberFormat="1" applyFont="1" applyFill="1" applyAlignment="1">
      <alignment horizontal="center" vertical="center"/>
    </xf>
    <xf numFmtId="1" fontId="0" fillId="9" borderId="0" xfId="0" applyNumberFormat="1" applyFont="1" applyFill="1" applyAlignment="1">
      <alignment horizontal="center" vertical="center"/>
    </xf>
    <xf numFmtId="1" fontId="0" fillId="34" borderId="0" xfId="0" applyNumberFormat="1" applyFont="1" applyFill="1" applyAlignment="1">
      <alignment horizontal="center" vertical="center"/>
    </xf>
    <xf numFmtId="165" fontId="59" fillId="0" borderId="45" xfId="0" applyNumberFormat="1" applyFont="1" applyBorder="1" applyAlignment="1">
      <alignment horizontal="center" vertical="center"/>
    </xf>
    <xf numFmtId="165" fontId="59" fillId="0" borderId="18" xfId="0" applyNumberFormat="1" applyFont="1" applyBorder="1" applyAlignment="1">
      <alignment horizontal="center" vertical="center"/>
    </xf>
    <xf numFmtId="165" fontId="59" fillId="0" borderId="19" xfId="0" applyNumberFormat="1" applyFont="1" applyBorder="1" applyAlignment="1">
      <alignment horizontal="center" vertical="center"/>
    </xf>
    <xf numFmtId="2" fontId="59" fillId="0" borderId="4" xfId="0" applyNumberFormat="1" applyFont="1" applyBorder="1" applyAlignment="1">
      <alignment horizontal="center" vertical="center"/>
    </xf>
    <xf numFmtId="0" fontId="59" fillId="4" borderId="5" xfId="0" applyFont="1" applyFill="1" applyBorder="1" applyAlignment="1">
      <alignment horizontal="center" vertical="center"/>
    </xf>
    <xf numFmtId="164" fontId="59" fillId="4" borderId="6" xfId="0" applyNumberFormat="1" applyFont="1" applyFill="1" applyBorder="1" applyAlignment="1">
      <alignment horizontal="center" vertical="center"/>
    </xf>
    <xf numFmtId="164" fontId="59" fillId="4" borderId="7" xfId="0" applyNumberFormat="1" applyFont="1" applyFill="1" applyBorder="1" applyAlignment="1">
      <alignment horizontal="center" vertical="center"/>
    </xf>
    <xf numFmtId="164" fontId="59" fillId="4" borderId="9" xfId="0" applyNumberFormat="1" applyFont="1" applyFill="1" applyBorder="1" applyAlignment="1">
      <alignment horizontal="center" vertical="center"/>
    </xf>
    <xf numFmtId="2" fontId="65" fillId="0" borderId="10" xfId="0" applyNumberFormat="1" applyFont="1" applyBorder="1" applyAlignment="1">
      <alignment horizontal="center" vertical="center"/>
    </xf>
    <xf numFmtId="0" fontId="59" fillId="5" borderId="5" xfId="0" applyFont="1" applyFill="1" applyBorder="1" applyAlignment="1">
      <alignment horizontal="center" vertical="center"/>
    </xf>
    <xf numFmtId="1" fontId="59" fillId="5" borderId="6" xfId="0" applyNumberFormat="1" applyFont="1" applyFill="1" applyBorder="1" applyAlignment="1">
      <alignment horizontal="center" vertical="center"/>
    </xf>
    <xf numFmtId="1" fontId="59" fillId="5" borderId="7" xfId="0" applyNumberFormat="1" applyFont="1" applyFill="1" applyBorder="1" applyAlignment="1">
      <alignment horizontal="center" vertical="center"/>
    </xf>
    <xf numFmtId="1" fontId="59" fillId="5" borderId="9" xfId="0" applyNumberFormat="1" applyFont="1" applyFill="1" applyBorder="1" applyAlignment="1">
      <alignment horizontal="center" vertical="center"/>
    </xf>
    <xf numFmtId="1" fontId="66" fillId="6" borderId="10" xfId="0" applyNumberFormat="1" applyFont="1" applyFill="1" applyBorder="1" applyAlignment="1">
      <alignment horizontal="center" vertical="center"/>
    </xf>
    <xf numFmtId="0" fontId="59" fillId="6" borderId="5" xfId="0" applyFont="1" applyFill="1" applyBorder="1" applyAlignment="1">
      <alignment horizontal="center" vertical="center"/>
    </xf>
    <xf numFmtId="164" fontId="59" fillId="0" borderId="6" xfId="0" applyNumberFormat="1" applyFont="1" applyBorder="1" applyAlignment="1">
      <alignment horizontal="center" vertical="center"/>
    </xf>
    <xf numFmtId="2" fontId="59" fillId="0" borderId="10" xfId="0" applyNumberFormat="1" applyFont="1" applyBorder="1" applyAlignment="1">
      <alignment horizontal="center" vertical="center"/>
    </xf>
    <xf numFmtId="0" fontId="59" fillId="0" borderId="5" xfId="0" applyFont="1" applyBorder="1" applyAlignment="1">
      <alignment horizontal="center" vertical="center"/>
    </xf>
    <xf numFmtId="164" fontId="59" fillId="0" borderId="7" xfId="0" applyNumberFormat="1" applyFont="1" applyBorder="1" applyAlignment="1">
      <alignment horizontal="center" vertical="center"/>
    </xf>
    <xf numFmtId="164" fontId="59" fillId="0" borderId="9" xfId="0" applyNumberFormat="1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59" fillId="7" borderId="11" xfId="0" applyFont="1" applyFill="1" applyBorder="1" applyAlignment="1">
      <alignment horizontal="center" vertical="center"/>
    </xf>
    <xf numFmtId="164" fontId="59" fillId="0" borderId="12" xfId="0" applyNumberFormat="1" applyFont="1" applyBorder="1" applyAlignment="1">
      <alignment horizontal="center" vertical="center"/>
    </xf>
    <xf numFmtId="164" fontId="59" fillId="0" borderId="13" xfId="0" applyNumberFormat="1" applyFont="1" applyBorder="1" applyAlignment="1">
      <alignment horizontal="center" vertical="center"/>
    </xf>
    <xf numFmtId="164" fontId="59" fillId="0" borderId="14" xfId="0" applyNumberFormat="1" applyFont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164" fontId="59" fillId="31" borderId="0" xfId="0" applyNumberFormat="1" applyFont="1" applyFill="1" applyAlignment="1">
      <alignment horizontal="center" vertical="center"/>
    </xf>
    <xf numFmtId="164" fontId="59" fillId="0" borderId="0" xfId="0" applyNumberFormat="1" applyFont="1" applyAlignment="1">
      <alignment horizontal="center" vertical="center"/>
    </xf>
    <xf numFmtId="164" fontId="0" fillId="0" borderId="0" xfId="0" applyNumberFormat="1" applyFont="1" applyAlignment="1">
      <alignment horizontal="center" vertical="center"/>
    </xf>
    <xf numFmtId="0" fontId="62" fillId="2" borderId="24" xfId="0" applyFont="1" applyFill="1" applyBorder="1" applyAlignment="1">
      <alignment horizontal="center" vertical="center"/>
    </xf>
    <xf numFmtId="0" fontId="60" fillId="2" borderId="48" xfId="0" applyFont="1" applyFill="1" applyBorder="1" applyAlignment="1">
      <alignment vertical="center"/>
    </xf>
    <xf numFmtId="0" fontId="60" fillId="2" borderId="43" xfId="0" applyFont="1" applyFill="1" applyBorder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59" fillId="0" borderId="36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59" fillId="0" borderId="54" xfId="0" applyFont="1" applyBorder="1" applyAlignment="1">
      <alignment horizontal="center" vertical="center"/>
    </xf>
    <xf numFmtId="1" fontId="59" fillId="0" borderId="0" xfId="0" applyNumberFormat="1" applyFont="1" applyAlignment="1">
      <alignment horizontal="center" vertical="center"/>
    </xf>
    <xf numFmtId="0" fontId="60" fillId="0" borderId="28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18" xfId="0" applyFont="1" applyBorder="1" applyAlignment="1">
      <alignment horizontal="center" vertical="center"/>
    </xf>
    <xf numFmtId="0" fontId="60" fillId="0" borderId="19" xfId="0" applyFont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59" fillId="3" borderId="6" xfId="0" applyNumberFormat="1" applyFont="1" applyFill="1" applyBorder="1" applyAlignment="1">
      <alignment horizontal="center" vertical="center"/>
    </xf>
    <xf numFmtId="164" fontId="64" fillId="0" borderId="7" xfId="0" applyNumberFormat="1" applyFont="1" applyFill="1" applyBorder="1" applyAlignment="1">
      <alignment horizontal="center" vertical="center"/>
    </xf>
    <xf numFmtId="165" fontId="59" fillId="0" borderId="0" xfId="0" applyNumberFormat="1" applyFont="1" applyAlignment="1">
      <alignment horizontal="center" vertical="center"/>
    </xf>
    <xf numFmtId="2" fontId="0" fillId="0" borderId="0" xfId="0" applyNumberFormat="1" applyFont="1" applyFill="1" applyAlignment="1">
      <alignment horizontal="center" vertical="center"/>
    </xf>
    <xf numFmtId="0" fontId="0" fillId="7" borderId="0" xfId="0" applyFont="1" applyFill="1" applyAlignment="1">
      <alignment horizontal="center" vertical="center"/>
    </xf>
    <xf numFmtId="164" fontId="59" fillId="7" borderId="0" xfId="0" applyNumberFormat="1" applyFont="1" applyFill="1" applyAlignment="1">
      <alignment horizontal="center" vertical="center"/>
    </xf>
    <xf numFmtId="165" fontId="59" fillId="0" borderId="38" xfId="0" applyNumberFormat="1" applyFont="1" applyBorder="1" applyAlignment="1">
      <alignment horizontal="center" vertical="center"/>
    </xf>
    <xf numFmtId="165" fontId="59" fillId="0" borderId="39" xfId="0" applyNumberFormat="1" applyFont="1" applyBorder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7" xfId="0" applyFont="1" applyFill="1" applyBorder="1" applyAlignment="1">
      <alignment horizontal="center" vertical="center"/>
    </xf>
    <xf numFmtId="2" fontId="65" fillId="0" borderId="0" xfId="0" applyNumberFormat="1" applyFont="1" applyAlignment="1">
      <alignment horizontal="center" vertical="center"/>
    </xf>
    <xf numFmtId="1" fontId="66" fillId="5" borderId="10" xfId="0" applyNumberFormat="1" applyFont="1" applyFill="1" applyBorder="1" applyAlignment="1">
      <alignment horizontal="center" vertical="center"/>
    </xf>
    <xf numFmtId="0" fontId="59" fillId="5" borderId="7" xfId="0" applyFont="1" applyFill="1" applyBorder="1" applyAlignment="1">
      <alignment horizontal="center" vertical="center"/>
    </xf>
    <xf numFmtId="0" fontId="66" fillId="5" borderId="10" xfId="0" applyFont="1" applyFill="1" applyBorder="1" applyAlignment="1">
      <alignment horizontal="center" vertical="center"/>
    </xf>
    <xf numFmtId="0" fontId="66" fillId="0" borderId="0" xfId="0" applyFont="1" applyAlignment="1">
      <alignment horizontal="center" vertical="center"/>
    </xf>
    <xf numFmtId="2" fontId="66" fillId="6" borderId="10" xfId="0" applyNumberFormat="1" applyFont="1" applyFill="1" applyBorder="1" applyAlignment="1">
      <alignment horizontal="center" vertical="center"/>
    </xf>
    <xf numFmtId="0" fontId="62" fillId="0" borderId="0" xfId="0" applyFont="1" applyAlignment="1">
      <alignment horizontal="center" vertical="center"/>
    </xf>
    <xf numFmtId="2" fontId="66" fillId="0" borderId="10" xfId="0" applyNumberFormat="1" applyFont="1" applyBorder="1" applyAlignment="1">
      <alignment horizontal="center" vertical="center"/>
    </xf>
    <xf numFmtId="2" fontId="66" fillId="0" borderId="0" xfId="0" applyNumberFormat="1" applyFont="1" applyAlignment="1">
      <alignment horizontal="center" vertical="center"/>
    </xf>
    <xf numFmtId="0" fontId="59" fillId="0" borderId="10" xfId="0" applyFont="1" applyBorder="1" applyAlignment="1">
      <alignment horizontal="center" vertical="center"/>
    </xf>
    <xf numFmtId="0" fontId="59" fillId="0" borderId="11" xfId="0" applyFont="1" applyBorder="1" applyAlignment="1">
      <alignment horizontal="center" vertical="center"/>
    </xf>
    <xf numFmtId="0" fontId="59" fillId="0" borderId="15" xfId="0" applyFont="1" applyBorder="1" applyAlignment="1">
      <alignment horizontal="center" vertical="center"/>
    </xf>
    <xf numFmtId="164" fontId="59" fillId="0" borderId="15" xfId="0" applyNumberFormat="1" applyFont="1" applyBorder="1" applyAlignment="1">
      <alignment horizontal="center" vertical="center"/>
    </xf>
    <xf numFmtId="0" fontId="60" fillId="0" borderId="20" xfId="0" applyFont="1" applyBorder="1" applyAlignment="1">
      <alignment horizontal="center" vertical="center"/>
    </xf>
    <xf numFmtId="0" fontId="63" fillId="0" borderId="56" xfId="0" applyFont="1" applyBorder="1" applyAlignment="1">
      <alignment horizontal="center" vertical="center"/>
    </xf>
    <xf numFmtId="0" fontId="60" fillId="0" borderId="21" xfId="0" applyFont="1" applyBorder="1" applyAlignment="1">
      <alignment horizontal="center" vertical="center"/>
    </xf>
    <xf numFmtId="164" fontId="59" fillId="7" borderId="38" xfId="0" applyNumberFormat="1" applyFont="1" applyFill="1" applyBorder="1" applyAlignment="1">
      <alignment horizontal="center" vertical="center"/>
    </xf>
    <xf numFmtId="164" fontId="59" fillId="7" borderId="39" xfId="0" applyNumberFormat="1" applyFont="1" applyFill="1" applyBorder="1" applyAlignment="1">
      <alignment horizontal="center" vertical="center"/>
    </xf>
    <xf numFmtId="164" fontId="59" fillId="7" borderId="40" xfId="0" applyNumberFormat="1" applyFont="1" applyFill="1" applyBorder="1" applyAlignment="1">
      <alignment horizontal="center" vertical="center"/>
    </xf>
    <xf numFmtId="2" fontId="59" fillId="0" borderId="46" xfId="0" applyNumberFormat="1" applyFont="1" applyFill="1" applyBorder="1" applyAlignment="1">
      <alignment horizontal="center" vertical="center"/>
    </xf>
    <xf numFmtId="164" fontId="59" fillId="7" borderId="6" xfId="0" applyNumberFormat="1" applyFont="1" applyFill="1" applyBorder="1" applyAlignment="1">
      <alignment horizontal="center" vertical="center"/>
    </xf>
    <xf numFmtId="164" fontId="59" fillId="7" borderId="7" xfId="0" applyNumberFormat="1" applyFont="1" applyFill="1" applyBorder="1" applyAlignment="1">
      <alignment horizontal="center" vertical="center"/>
    </xf>
    <xf numFmtId="164" fontId="59" fillId="7" borderId="9" xfId="0" applyNumberFormat="1" applyFont="1" applyFill="1" applyBorder="1" applyAlignment="1">
      <alignment horizontal="center" vertical="center"/>
    </xf>
    <xf numFmtId="165" fontId="59" fillId="0" borderId="40" xfId="0" applyNumberFormat="1" applyFont="1" applyBorder="1" applyAlignment="1">
      <alignment horizontal="center" vertical="center"/>
    </xf>
    <xf numFmtId="165" fontId="59" fillId="0" borderId="29" xfId="0" applyNumberFormat="1" applyFont="1" applyBorder="1" applyAlignment="1">
      <alignment horizontal="center" vertical="center"/>
    </xf>
    <xf numFmtId="165" fontId="59" fillId="0" borderId="52" xfId="0" applyNumberFormat="1" applyFont="1" applyBorder="1" applyAlignment="1">
      <alignment horizontal="center" vertical="center"/>
    </xf>
    <xf numFmtId="2" fontId="59" fillId="0" borderId="20" xfId="0" applyNumberFormat="1" applyFont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4" borderId="8" xfId="0" applyFont="1" applyFill="1" applyBorder="1" applyAlignment="1">
      <alignment horizontal="center" vertical="center"/>
    </xf>
    <xf numFmtId="2" fontId="65" fillId="0" borderId="21" xfId="0" applyNumberFormat="1" applyFont="1" applyBorder="1" applyAlignment="1">
      <alignment horizontal="center" vertical="center"/>
    </xf>
    <xf numFmtId="1" fontId="59" fillId="5" borderId="16" xfId="0" applyNumberFormat="1" applyFont="1" applyFill="1" applyBorder="1" applyAlignment="1">
      <alignment horizontal="center" vertical="center"/>
    </xf>
    <xf numFmtId="1" fontId="59" fillId="5" borderId="8" xfId="0" applyNumberFormat="1" applyFont="1" applyFill="1" applyBorder="1" applyAlignment="1">
      <alignment horizontal="center" vertical="center"/>
    </xf>
    <xf numFmtId="1" fontId="66" fillId="6" borderId="21" xfId="0" applyNumberFormat="1" applyFont="1" applyFill="1" applyBorder="1" applyAlignment="1">
      <alignment horizontal="center" vertical="center"/>
    </xf>
    <xf numFmtId="164" fontId="59" fillId="0" borderId="5" xfId="0" applyNumberFormat="1" applyFont="1" applyBorder="1" applyAlignment="1">
      <alignment horizontal="center" vertical="center"/>
    </xf>
    <xf numFmtId="164" fontId="59" fillId="0" borderId="21" xfId="0" applyNumberFormat="1" applyFont="1" applyBorder="1" applyAlignment="1">
      <alignment horizontal="center" vertical="center"/>
    </xf>
    <xf numFmtId="2" fontId="59" fillId="0" borderId="21" xfId="0" applyNumberFormat="1" applyFont="1" applyBorder="1" applyAlignment="1">
      <alignment horizontal="center" vertical="center"/>
    </xf>
    <xf numFmtId="164" fontId="59" fillId="0" borderId="16" xfId="0" applyNumberFormat="1" applyFont="1" applyBorder="1" applyAlignment="1">
      <alignment horizontal="center" vertical="center"/>
    </xf>
    <xf numFmtId="164" fontId="59" fillId="0" borderId="8" xfId="0" applyNumberFormat="1" applyFont="1" applyBorder="1" applyAlignment="1">
      <alignment horizontal="center" vertical="center"/>
    </xf>
    <xf numFmtId="0" fontId="0" fillId="0" borderId="21" xfId="0" applyFont="1" applyBorder="1" applyAlignment="1">
      <alignment horizontal="center" vertical="center"/>
    </xf>
    <xf numFmtId="164" fontId="59" fillId="0" borderId="23" xfId="0" applyNumberFormat="1" applyFont="1" applyBorder="1" applyAlignment="1">
      <alignment horizontal="center" vertical="center"/>
    </xf>
    <xf numFmtId="164" fontId="59" fillId="0" borderId="58" xfId="0" applyNumberFormat="1" applyFont="1" applyBorder="1" applyAlignment="1">
      <alignment horizontal="center" vertical="center"/>
    </xf>
    <xf numFmtId="0" fontId="0" fillId="0" borderId="22" xfId="0" applyFont="1" applyBorder="1" applyAlignment="1">
      <alignment horizontal="center" vertical="center"/>
    </xf>
    <xf numFmtId="0" fontId="60" fillId="2" borderId="0" xfId="0" applyFont="1" applyFill="1" applyAlignment="1">
      <alignment vertical="center"/>
    </xf>
    <xf numFmtId="0" fontId="59" fillId="2" borderId="0" xfId="0" applyFont="1" applyFill="1" applyBorder="1" applyAlignment="1">
      <alignment horizontal="center" vertical="center"/>
    </xf>
    <xf numFmtId="14" fontId="61" fillId="2" borderId="33" xfId="0" applyNumberFormat="1" applyFont="1" applyFill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164" fontId="7" fillId="0" borderId="0" xfId="0" applyNumberFormat="1" applyFont="1" applyFill="1" applyAlignment="1">
      <alignment horizontal="center" vertical="center"/>
    </xf>
    <xf numFmtId="164" fontId="59" fillId="0" borderId="65" xfId="0" applyNumberFormat="1" applyFont="1" applyFill="1" applyBorder="1" applyAlignment="1">
      <alignment horizontal="center" vertical="center"/>
    </xf>
    <xf numFmtId="164" fontId="59" fillId="0" borderId="64" xfId="0" applyNumberFormat="1" applyFont="1" applyFill="1" applyBorder="1" applyAlignment="1">
      <alignment horizontal="center" vertical="center"/>
    </xf>
    <xf numFmtId="164" fontId="59" fillId="0" borderId="47" xfId="0" applyNumberFormat="1" applyFont="1" applyFill="1" applyBorder="1" applyAlignment="1">
      <alignment horizontal="center" vertical="center"/>
    </xf>
    <xf numFmtId="164" fontId="59" fillId="0" borderId="26" xfId="0" applyNumberFormat="1" applyFont="1" applyFill="1" applyBorder="1" applyAlignment="1">
      <alignment horizontal="center" vertical="center"/>
    </xf>
    <xf numFmtId="2" fontId="59" fillId="0" borderId="31" xfId="0" applyNumberFormat="1" applyFont="1" applyFill="1" applyBorder="1" applyAlignment="1">
      <alignment horizontal="center" vertical="center"/>
    </xf>
    <xf numFmtId="2" fontId="65" fillId="4" borderId="46" xfId="0" applyNumberFormat="1" applyFont="1" applyFill="1" applyBorder="1" applyAlignment="1">
      <alignment horizontal="center" vertical="center"/>
    </xf>
    <xf numFmtId="0" fontId="59" fillId="4" borderId="18" xfId="0" applyFont="1" applyFill="1" applyBorder="1" applyAlignment="1">
      <alignment horizontal="center" vertical="center"/>
    </xf>
    <xf numFmtId="0" fontId="59" fillId="4" borderId="19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165" fontId="59" fillId="0" borderId="35" xfId="0" applyNumberFormat="1" applyFont="1" applyBorder="1" applyAlignment="1">
      <alignment horizontal="center" vertical="center"/>
    </xf>
    <xf numFmtId="165" fontId="59" fillId="0" borderId="36" xfId="0" applyNumberFormat="1" applyFont="1" applyBorder="1" applyAlignment="1">
      <alignment horizontal="center" vertical="center"/>
    </xf>
    <xf numFmtId="2" fontId="59" fillId="0" borderId="43" xfId="0" applyNumberFormat="1" applyFont="1" applyBorder="1" applyAlignment="1">
      <alignment horizontal="center" vertical="center"/>
    </xf>
    <xf numFmtId="0" fontId="59" fillId="0" borderId="38" xfId="0" applyFont="1" applyBorder="1" applyAlignment="1">
      <alignment horizontal="center" vertical="center"/>
    </xf>
    <xf numFmtId="0" fontId="59" fillId="0" borderId="39" xfId="0" applyFont="1" applyBorder="1" applyAlignment="1">
      <alignment horizontal="center" vertical="center"/>
    </xf>
    <xf numFmtId="0" fontId="59" fillId="0" borderId="40" xfId="0" applyFont="1" applyBorder="1" applyAlignment="1">
      <alignment horizontal="center" vertical="center"/>
    </xf>
    <xf numFmtId="165" fontId="59" fillId="0" borderId="37" xfId="0" applyNumberFormat="1" applyFont="1" applyBorder="1" applyAlignment="1">
      <alignment horizontal="center" vertical="center"/>
    </xf>
    <xf numFmtId="164" fontId="59" fillId="0" borderId="4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17" xfId="0" applyFont="1" applyBorder="1" applyAlignment="1">
      <alignment horizontal="center" vertical="center"/>
    </xf>
    <xf numFmtId="0" fontId="59" fillId="4" borderId="17" xfId="0" applyFont="1" applyFill="1" applyBorder="1" applyAlignment="1">
      <alignment horizontal="center" vertical="center"/>
    </xf>
    <xf numFmtId="0" fontId="59" fillId="5" borderId="16" xfId="0" applyFont="1" applyFill="1" applyBorder="1" applyAlignment="1">
      <alignment horizontal="center" vertical="center"/>
    </xf>
    <xf numFmtId="0" fontId="35" fillId="3" borderId="48" xfId="0" applyFont="1" applyFill="1" applyBorder="1" applyAlignment="1">
      <alignment wrapText="1"/>
    </xf>
    <xf numFmtId="14" fontId="34" fillId="3" borderId="76" xfId="0" applyNumberFormat="1" applyFont="1" applyFill="1" applyBorder="1" applyAlignment="1">
      <alignment vertical="center" wrapText="1"/>
    </xf>
    <xf numFmtId="164" fontId="59" fillId="3" borderId="16" xfId="0" applyNumberFormat="1" applyFont="1" applyFill="1" applyBorder="1" applyAlignment="1">
      <alignment horizontal="center" vertical="center"/>
    </xf>
    <xf numFmtId="164" fontId="59" fillId="30" borderId="6" xfId="0" applyNumberFormat="1" applyFont="1" applyFill="1" applyBorder="1" applyAlignment="1">
      <alignment horizontal="center" vertical="center"/>
    </xf>
    <xf numFmtId="164" fontId="59" fillId="3" borderId="9" xfId="0" applyNumberFormat="1" applyFont="1" applyFill="1" applyBorder="1" applyAlignment="1">
      <alignment horizontal="center" vertical="center"/>
    </xf>
    <xf numFmtId="2" fontId="64" fillId="3" borderId="10" xfId="0" applyNumberFormat="1" applyFont="1" applyFill="1" applyBorder="1" applyAlignment="1">
      <alignment horizontal="center" vertical="center"/>
    </xf>
    <xf numFmtId="2" fontId="59" fillId="3" borderId="10" xfId="0" applyNumberFormat="1" applyFont="1" applyFill="1" applyBorder="1" applyAlignment="1">
      <alignment horizontal="center" vertical="center"/>
    </xf>
    <xf numFmtId="2" fontId="59" fillId="3" borderId="46" xfId="0" applyNumberFormat="1" applyFont="1" applyFill="1" applyBorder="1" applyAlignment="1">
      <alignment horizontal="center" vertical="center"/>
    </xf>
    <xf numFmtId="2" fontId="59" fillId="3" borderId="4" xfId="0" applyNumberFormat="1" applyFont="1" applyFill="1" applyBorder="1" applyAlignment="1">
      <alignment horizontal="center" vertical="center"/>
    </xf>
    <xf numFmtId="164" fontId="64" fillId="30" borderId="7" xfId="0" applyNumberFormat="1" applyFont="1" applyFill="1" applyBorder="1" applyAlignment="1">
      <alignment horizontal="center" vertical="center"/>
    </xf>
    <xf numFmtId="164" fontId="59" fillId="30" borderId="9" xfId="0" applyNumberFormat="1" applyFont="1" applyFill="1" applyBorder="1" applyAlignment="1">
      <alignment horizontal="center" vertical="center"/>
    </xf>
    <xf numFmtId="164" fontId="64" fillId="3" borderId="7" xfId="0" applyNumberFormat="1" applyFont="1" applyFill="1" applyBorder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14" fontId="61" fillId="2" borderId="33" xfId="0" applyNumberFormat="1" applyFont="1" applyFill="1" applyBorder="1" applyAlignment="1">
      <alignment horizontal="center" vertical="center"/>
    </xf>
    <xf numFmtId="164" fontId="59" fillId="33" borderId="7" xfId="0" applyNumberFormat="1" applyFont="1" applyFill="1" applyBorder="1" applyAlignment="1">
      <alignment horizontal="center" vertical="center"/>
    </xf>
    <xf numFmtId="164" fontId="59" fillId="3" borderId="64" xfId="0" applyNumberFormat="1" applyFont="1" applyFill="1" applyBorder="1" applyAlignment="1">
      <alignment horizontal="center" vertical="center"/>
    </xf>
    <xf numFmtId="164" fontId="59" fillId="3" borderId="47" xfId="0" applyNumberFormat="1" applyFont="1" applyFill="1" applyBorder="1" applyAlignment="1">
      <alignment horizontal="center" vertical="center"/>
    </xf>
    <xf numFmtId="164" fontId="59" fillId="3" borderId="65" xfId="0" applyNumberFormat="1" applyFont="1" applyFill="1" applyBorder="1" applyAlignment="1">
      <alignment horizontal="center" vertical="center"/>
    </xf>
    <xf numFmtId="2" fontId="59" fillId="3" borderId="31" xfId="0" applyNumberFormat="1" applyFont="1" applyFill="1" applyBorder="1" applyAlignment="1">
      <alignment horizontal="center" vertical="center"/>
    </xf>
    <xf numFmtId="0" fontId="60" fillId="0" borderId="78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2" borderId="28" xfId="0" applyFont="1" applyFill="1" applyBorder="1" applyAlignment="1">
      <alignment horizontal="center" vertical="center"/>
    </xf>
    <xf numFmtId="164" fontId="59" fillId="0" borderId="61" xfId="0" applyNumberFormat="1" applyFont="1" applyFill="1" applyBorder="1" applyAlignment="1">
      <alignment horizontal="center" vertical="center"/>
    </xf>
    <xf numFmtId="164" fontId="59" fillId="0" borderId="62" xfId="0" applyNumberFormat="1" applyFont="1" applyFill="1" applyBorder="1" applyAlignment="1">
      <alignment horizontal="center" vertical="center"/>
    </xf>
    <xf numFmtId="164" fontId="59" fillId="3" borderId="62" xfId="0" applyNumberFormat="1" applyFont="1" applyFill="1" applyBorder="1" applyAlignment="1">
      <alignment horizontal="center" vertical="center"/>
    </xf>
    <xf numFmtId="164" fontId="59" fillId="0" borderId="75" xfId="0" applyNumberFormat="1" applyFont="1" applyFill="1" applyBorder="1" applyAlignment="1">
      <alignment horizontal="center" vertical="center"/>
    </xf>
    <xf numFmtId="164" fontId="59" fillId="0" borderId="63" xfId="0" applyNumberFormat="1" applyFont="1" applyFill="1" applyBorder="1" applyAlignment="1">
      <alignment horizontal="center" vertical="center"/>
    </xf>
    <xf numFmtId="164" fontId="60" fillId="0" borderId="35" xfId="0" applyNumberFormat="1" applyFont="1" applyFill="1" applyBorder="1" applyAlignment="1">
      <alignment horizontal="center" vertical="center"/>
    </xf>
    <xf numFmtId="164" fontId="60" fillId="0" borderId="36" xfId="0" applyNumberFormat="1" applyFont="1" applyFill="1" applyBorder="1" applyAlignment="1">
      <alignment horizontal="center" vertical="center"/>
    </xf>
    <xf numFmtId="164" fontId="60" fillId="3" borderId="36" xfId="0" applyNumberFormat="1" applyFont="1" applyFill="1" applyBorder="1" applyAlignment="1">
      <alignment horizontal="center" vertical="center"/>
    </xf>
    <xf numFmtId="164" fontId="60" fillId="3" borderId="37" xfId="0" applyNumberFormat="1" applyFont="1" applyFill="1" applyBorder="1" applyAlignment="1">
      <alignment horizontal="center" vertical="center"/>
    </xf>
    <xf numFmtId="164" fontId="60" fillId="0" borderId="57" xfId="0" applyNumberFormat="1" applyFont="1" applyFill="1" applyBorder="1" applyAlignment="1">
      <alignment horizontal="center" vertical="center"/>
    </xf>
    <xf numFmtId="164" fontId="60" fillId="3" borderId="35" xfId="0" applyNumberFormat="1" applyFont="1" applyFill="1" applyBorder="1" applyAlignment="1">
      <alignment horizontal="center" vertical="center"/>
    </xf>
    <xf numFmtId="164" fontId="60" fillId="0" borderId="37" xfId="0" applyNumberFormat="1" applyFont="1" applyFill="1" applyBorder="1" applyAlignment="1">
      <alignment horizontal="center" vertical="center"/>
    </xf>
    <xf numFmtId="0" fontId="68" fillId="0" borderId="34" xfId="0" applyFont="1" applyBorder="1" applyAlignment="1">
      <alignment horizontal="center" vertical="center"/>
    </xf>
    <xf numFmtId="2" fontId="67" fillId="0" borderId="46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/>
    </xf>
    <xf numFmtId="164" fontId="59" fillId="0" borderId="38" xfId="0" applyNumberFormat="1" applyFont="1" applyFill="1" applyBorder="1" applyAlignment="1">
      <alignment horizontal="center" vertical="center"/>
    </xf>
    <xf numFmtId="164" fontId="59" fillId="0" borderId="39" xfId="0" applyNumberFormat="1" applyFont="1" applyFill="1" applyBorder="1" applyAlignment="1">
      <alignment horizontal="center" vertical="center"/>
    </xf>
    <xf numFmtId="164" fontId="64" fillId="0" borderId="39" xfId="0" applyNumberFormat="1" applyFont="1" applyFill="1" applyBorder="1" applyAlignment="1">
      <alignment horizontal="center" vertical="center"/>
    </xf>
    <xf numFmtId="164" fontId="59" fillId="0" borderId="40" xfId="0" applyNumberFormat="1" applyFont="1" applyFill="1" applyBorder="1" applyAlignment="1">
      <alignment horizontal="center" vertical="center"/>
    </xf>
    <xf numFmtId="164" fontId="67" fillId="3" borderId="36" xfId="0" applyNumberFormat="1" applyFont="1" applyFill="1" applyBorder="1" applyAlignment="1">
      <alignment horizontal="center" vertical="center"/>
    </xf>
    <xf numFmtId="2" fontId="60" fillId="3" borderId="43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4" fontId="59" fillId="0" borderId="69" xfId="0" applyNumberFormat="1" applyFont="1" applyFill="1" applyBorder="1" applyAlignment="1">
      <alignment horizontal="center" vertical="center"/>
    </xf>
    <xf numFmtId="164" fontId="59" fillId="0" borderId="66" xfId="0" applyNumberFormat="1" applyFont="1" applyFill="1" applyBorder="1" applyAlignment="1">
      <alignment horizontal="center" vertical="center"/>
    </xf>
    <xf numFmtId="164" fontId="59" fillId="0" borderId="68" xfId="0" applyNumberFormat="1" applyFont="1" applyFill="1" applyBorder="1" applyAlignment="1">
      <alignment horizontal="center" vertical="center"/>
    </xf>
    <xf numFmtId="2" fontId="59" fillId="0" borderId="21" xfId="0" applyNumberFormat="1" applyFont="1" applyFill="1" applyBorder="1" applyAlignment="1">
      <alignment horizontal="center" vertical="center"/>
    </xf>
    <xf numFmtId="2" fontId="59" fillId="0" borderId="22" xfId="0" applyNumberFormat="1" applyFont="1" applyFill="1" applyBorder="1" applyAlignment="1">
      <alignment horizontal="center" vertical="center"/>
    </xf>
    <xf numFmtId="164" fontId="60" fillId="7" borderId="35" xfId="0" applyNumberFormat="1" applyFont="1" applyFill="1" applyBorder="1" applyAlignment="1">
      <alignment horizontal="center" vertical="center"/>
    </xf>
    <xf numFmtId="164" fontId="60" fillId="7" borderId="36" xfId="0" applyNumberFormat="1" applyFont="1" applyFill="1" applyBorder="1" applyAlignment="1">
      <alignment horizontal="center" vertical="center"/>
    </xf>
    <xf numFmtId="164" fontId="60" fillId="7" borderId="37" xfId="0" applyNumberFormat="1" applyFont="1" applyFill="1" applyBorder="1" applyAlignment="1">
      <alignment horizontal="center" vertical="center"/>
    </xf>
    <xf numFmtId="164" fontId="59" fillId="3" borderId="39" xfId="0" applyNumberFormat="1" applyFont="1" applyFill="1" applyBorder="1" applyAlignment="1">
      <alignment horizontal="center" vertical="center"/>
    </xf>
    <xf numFmtId="2" fontId="64" fillId="3" borderId="46" xfId="0" applyNumberFormat="1" applyFont="1" applyFill="1" applyBorder="1" applyAlignment="1">
      <alignment horizontal="center" vertical="center"/>
    </xf>
    <xf numFmtId="2" fontId="59" fillId="3" borderId="20" xfId="0" applyNumberFormat="1" applyFont="1" applyFill="1" applyBorder="1" applyAlignment="1">
      <alignment horizontal="center" vertical="center"/>
    </xf>
    <xf numFmtId="164" fontId="59" fillId="30" borderId="64" xfId="0" applyNumberFormat="1" applyFont="1" applyFill="1" applyBorder="1" applyAlignment="1">
      <alignment horizontal="center" vertical="center"/>
    </xf>
    <xf numFmtId="164" fontId="59" fillId="3" borderId="26" xfId="0" applyNumberFormat="1" applyFont="1" applyFill="1" applyBorder="1" applyAlignment="1">
      <alignment horizontal="center" vertical="center"/>
    </xf>
    <xf numFmtId="2" fontId="59" fillId="3" borderId="21" xfId="0" applyNumberFormat="1" applyFont="1" applyFill="1" applyBorder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14" fontId="61" fillId="2" borderId="33" xfId="0" applyNumberFormat="1" applyFont="1" applyFill="1" applyBorder="1" applyAlignment="1">
      <alignment horizontal="center" vertical="center"/>
    </xf>
    <xf numFmtId="2" fontId="64" fillId="0" borderId="46" xfId="0" applyNumberFormat="1" applyFont="1" applyFill="1" applyBorder="1" applyAlignment="1">
      <alignment horizontal="center" vertical="center"/>
    </xf>
    <xf numFmtId="2" fontId="67" fillId="0" borderId="41" xfId="0" applyNumberFormat="1" applyFont="1" applyFill="1" applyBorder="1" applyAlignment="1">
      <alignment horizontal="center" vertical="center"/>
    </xf>
    <xf numFmtId="164" fontId="67" fillId="30" borderId="36" xfId="0" applyNumberFormat="1" applyFont="1" applyFill="1" applyBorder="1" applyAlignment="1">
      <alignment horizontal="center" vertical="center"/>
    </xf>
    <xf numFmtId="2" fontId="60" fillId="0" borderId="43" xfId="0" applyNumberFormat="1" applyFont="1" applyFill="1" applyBorder="1" applyAlignment="1">
      <alignment horizontal="center" vertical="center"/>
    </xf>
    <xf numFmtId="2" fontId="59" fillId="0" borderId="20" xfId="0" applyNumberFormat="1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3" xfId="0" applyFont="1" applyFill="1" applyBorder="1" applyAlignment="1">
      <alignment horizontal="center" vertical="center"/>
    </xf>
    <xf numFmtId="0" fontId="6" fillId="2" borderId="5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164" fontId="1" fillId="7" borderId="0" xfId="0" applyNumberFormat="1" applyFont="1" applyFill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164" fontId="23" fillId="17" borderId="0" xfId="0" applyNumberFormat="1" applyFont="1" applyFill="1" applyAlignment="1">
      <alignment horizontal="center" vertical="center"/>
    </xf>
    <xf numFmtId="164" fontId="23" fillId="15" borderId="0" xfId="0" applyNumberFormat="1" applyFont="1" applyFill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6" fillId="7" borderId="55" xfId="0" applyFont="1" applyFill="1" applyBorder="1" applyAlignment="1">
      <alignment horizontal="center" vertical="center"/>
    </xf>
    <xf numFmtId="0" fontId="6" fillId="7" borderId="33" xfId="0" applyFont="1" applyFill="1" applyBorder="1" applyAlignment="1">
      <alignment horizontal="center" vertical="center"/>
    </xf>
    <xf numFmtId="0" fontId="6" fillId="7" borderId="44" xfId="0" applyFont="1" applyFill="1" applyBorder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164" fontId="10" fillId="3" borderId="44" xfId="0" applyNumberFormat="1" applyFont="1" applyFill="1" applyBorder="1" applyAlignment="1">
      <alignment horizontal="center" vertical="center"/>
    </xf>
    <xf numFmtId="164" fontId="10" fillId="3" borderId="0" xfId="0" applyNumberFormat="1" applyFont="1" applyFill="1" applyAlignment="1">
      <alignment horizontal="center" vertical="center"/>
    </xf>
    <xf numFmtId="0" fontId="6" fillId="18" borderId="34" xfId="0" applyFont="1" applyFill="1" applyBorder="1" applyAlignment="1">
      <alignment horizontal="center" vertical="center"/>
    </xf>
    <xf numFmtId="0" fontId="6" fillId="18" borderId="42" xfId="0" applyFont="1" applyFill="1" applyBorder="1" applyAlignment="1">
      <alignment horizontal="center" vertical="center"/>
    </xf>
    <xf numFmtId="0" fontId="6" fillId="18" borderId="43" xfId="0" applyFont="1" applyFill="1" applyBorder="1" applyAlignment="1">
      <alignment horizontal="center" vertical="center"/>
    </xf>
    <xf numFmtId="0" fontId="6" fillId="25" borderId="49" xfId="0" applyFont="1" applyFill="1" applyBorder="1" applyAlignment="1">
      <alignment horizontal="center" vertical="center"/>
    </xf>
    <xf numFmtId="0" fontId="6" fillId="25" borderId="50" xfId="0" applyFont="1" applyFill="1" applyBorder="1" applyAlignment="1">
      <alignment horizontal="center" vertical="center"/>
    </xf>
    <xf numFmtId="0" fontId="6" fillId="25" borderId="48" xfId="0" applyFont="1" applyFill="1" applyBorder="1" applyAlignment="1">
      <alignment horizontal="center" vertical="center"/>
    </xf>
    <xf numFmtId="0" fontId="6" fillId="23" borderId="49" xfId="0" applyFont="1" applyFill="1" applyBorder="1" applyAlignment="1">
      <alignment horizontal="center" vertical="center"/>
    </xf>
    <xf numFmtId="0" fontId="6" fillId="23" borderId="50" xfId="0" applyFont="1" applyFill="1" applyBorder="1" applyAlignment="1">
      <alignment horizontal="center" vertical="center"/>
    </xf>
    <xf numFmtId="0" fontId="6" fillId="23" borderId="34" xfId="0" applyFont="1" applyFill="1" applyBorder="1" applyAlignment="1">
      <alignment horizontal="center" vertical="center"/>
    </xf>
    <xf numFmtId="0" fontId="6" fillId="23" borderId="42" xfId="0" applyFont="1" applyFill="1" applyBorder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5" borderId="6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0" fontId="59" fillId="6" borderId="6" xfId="0" applyFont="1" applyFill="1" applyBorder="1" applyAlignment="1">
      <alignment horizontal="center" vertical="center"/>
    </xf>
    <xf numFmtId="0" fontId="59" fillId="6" borderId="9" xfId="0" applyFont="1" applyFill="1" applyBorder="1" applyAlignment="1">
      <alignment horizontal="center" vertical="center"/>
    </xf>
    <xf numFmtId="0" fontId="59" fillId="0" borderId="6" xfId="0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2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0" fillId="23" borderId="49" xfId="0" applyFont="1" applyFill="1" applyBorder="1" applyAlignment="1">
      <alignment horizontal="center" vertical="center"/>
    </xf>
    <xf numFmtId="0" fontId="60" fillId="23" borderId="50" xfId="0" applyFont="1" applyFill="1" applyBorder="1" applyAlignment="1">
      <alignment horizontal="center" vertical="center"/>
    </xf>
    <xf numFmtId="0" fontId="60" fillId="25" borderId="49" xfId="0" applyFont="1" applyFill="1" applyBorder="1" applyAlignment="1">
      <alignment horizontal="center" vertical="center"/>
    </xf>
    <xf numFmtId="0" fontId="60" fillId="25" borderId="50" xfId="0" applyFont="1" applyFill="1" applyBorder="1" applyAlignment="1">
      <alignment horizontal="center" vertical="center"/>
    </xf>
    <xf numFmtId="0" fontId="60" fillId="25" borderId="48" xfId="0" applyFont="1" applyFill="1" applyBorder="1" applyAlignment="1">
      <alignment horizontal="center" vertical="center"/>
    </xf>
    <xf numFmtId="0" fontId="60" fillId="18" borderId="34" xfId="0" applyFont="1" applyFill="1" applyBorder="1" applyAlignment="1">
      <alignment horizontal="center" vertical="center"/>
    </xf>
    <xf numFmtId="0" fontId="60" fillId="18" borderId="42" xfId="0" applyFont="1" applyFill="1" applyBorder="1" applyAlignment="1">
      <alignment horizontal="center" vertical="center"/>
    </xf>
    <xf numFmtId="0" fontId="60" fillId="18" borderId="43" xfId="0" applyFont="1" applyFill="1" applyBorder="1" applyAlignment="1">
      <alignment horizontal="center" vertical="center"/>
    </xf>
    <xf numFmtId="14" fontId="61" fillId="2" borderId="33" xfId="0" applyNumberFormat="1" applyFont="1" applyFill="1" applyBorder="1" applyAlignment="1">
      <alignment horizontal="center" vertical="center"/>
    </xf>
    <xf numFmtId="0" fontId="60" fillId="2" borderId="34" xfId="0" applyFont="1" applyFill="1" applyBorder="1" applyAlignment="1">
      <alignment horizontal="center" vertical="center"/>
    </xf>
    <xf numFmtId="0" fontId="60" fillId="2" borderId="42" xfId="0" applyFont="1" applyFill="1" applyBorder="1" applyAlignment="1">
      <alignment horizontal="center" vertical="center"/>
    </xf>
    <xf numFmtId="0" fontId="60" fillId="23" borderId="34" xfId="0" applyFont="1" applyFill="1" applyBorder="1" applyAlignment="1">
      <alignment horizontal="center" vertical="center"/>
    </xf>
    <xf numFmtId="0" fontId="60" fillId="23" borderId="42" xfId="0" applyFont="1" applyFill="1" applyBorder="1" applyAlignment="1">
      <alignment horizontal="center" vertical="center"/>
    </xf>
    <xf numFmtId="0" fontId="62" fillId="2" borderId="45" xfId="0" applyFont="1" applyFill="1" applyBorder="1" applyAlignment="1">
      <alignment horizontal="center" vertical="center"/>
    </xf>
    <xf numFmtId="0" fontId="62" fillId="2" borderId="19" xfId="0" applyFont="1" applyFill="1" applyBorder="1" applyAlignment="1">
      <alignment horizontal="center" vertical="center"/>
    </xf>
    <xf numFmtId="0" fontId="67" fillId="0" borderId="6" xfId="0" applyFont="1" applyBorder="1" applyAlignment="1">
      <alignment horizontal="center" vertical="center"/>
    </xf>
    <xf numFmtId="0" fontId="67" fillId="0" borderId="9" xfId="0" applyFont="1" applyBorder="1" applyAlignment="1">
      <alignment horizontal="center" vertical="center"/>
    </xf>
    <xf numFmtId="0" fontId="60" fillId="0" borderId="6" xfId="0" applyFont="1" applyBorder="1" applyAlignment="1">
      <alignment horizontal="center" vertical="center"/>
    </xf>
    <xf numFmtId="0" fontId="60" fillId="0" borderId="9" xfId="0" applyFont="1" applyBorder="1" applyAlignment="1">
      <alignment horizontal="center" vertical="center"/>
    </xf>
    <xf numFmtId="0" fontId="60" fillId="2" borderId="6" xfId="0" applyFont="1" applyFill="1" applyBorder="1" applyAlignment="1">
      <alignment horizontal="center" vertical="center"/>
    </xf>
    <xf numFmtId="0" fontId="60" fillId="2" borderId="9" xfId="0" applyFont="1" applyFill="1" applyBorder="1" applyAlignment="1">
      <alignment horizontal="center" vertical="center"/>
    </xf>
    <xf numFmtId="0" fontId="44" fillId="11" borderId="5" xfId="0" applyFont="1" applyFill="1" applyBorder="1" applyAlignment="1">
      <alignment horizontal="center" vertical="center"/>
    </xf>
    <xf numFmtId="0" fontId="44" fillId="11" borderId="10" xfId="0" applyFont="1" applyFill="1" applyBorder="1" applyAlignment="1">
      <alignment horizontal="center" vertical="center"/>
    </xf>
    <xf numFmtId="164" fontId="44" fillId="0" borderId="11" xfId="0" applyNumberFormat="1" applyFont="1" applyBorder="1" applyAlignment="1">
      <alignment horizontal="center" vertical="center"/>
    </xf>
    <xf numFmtId="164" fontId="44" fillId="0" borderId="15" xfId="0" applyNumberFormat="1" applyFont="1" applyBorder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164" fontId="34" fillId="0" borderId="50" xfId="0" applyNumberFormat="1" applyFont="1" applyBorder="1" applyAlignment="1">
      <alignment horizontal="center" vertical="center"/>
    </xf>
    <xf numFmtId="0" fontId="39" fillId="13" borderId="34" xfId="0" applyFont="1" applyFill="1" applyBorder="1" applyAlignment="1">
      <alignment horizontal="center" vertical="center"/>
    </xf>
    <xf numFmtId="0" fontId="39" fillId="13" borderId="43" xfId="0" applyFont="1" applyFill="1" applyBorder="1" applyAlignment="1">
      <alignment horizontal="center" vertical="center"/>
    </xf>
    <xf numFmtId="0" fontId="6" fillId="12" borderId="34" xfId="0" applyFont="1" applyFill="1" applyBorder="1" applyAlignment="1">
      <alignment horizontal="center" vertical="center"/>
    </xf>
    <xf numFmtId="0" fontId="6" fillId="12" borderId="42" xfId="0" applyFont="1" applyFill="1" applyBorder="1" applyAlignment="1">
      <alignment horizontal="center" vertical="center"/>
    </xf>
    <xf numFmtId="0" fontId="6" fillId="12" borderId="43" xfId="0" applyFont="1" applyFill="1" applyBorder="1" applyAlignment="1">
      <alignment horizontal="center" vertical="center"/>
    </xf>
    <xf numFmtId="0" fontId="35" fillId="10" borderId="34" xfId="0" applyFont="1" applyFill="1" applyBorder="1" applyAlignment="1">
      <alignment horizontal="center" vertical="center"/>
    </xf>
    <xf numFmtId="0" fontId="35" fillId="10" borderId="43" xfId="0" applyFont="1" applyFill="1" applyBorder="1" applyAlignment="1">
      <alignment horizontal="center" vertical="center"/>
    </xf>
    <xf numFmtId="0" fontId="37" fillId="12" borderId="34" xfId="0" applyFont="1" applyFill="1" applyBorder="1" applyAlignment="1">
      <alignment horizontal="center" vertical="center"/>
    </xf>
    <xf numFmtId="0" fontId="37" fillId="12" borderId="42" xfId="0" applyFont="1" applyFill="1" applyBorder="1" applyAlignment="1">
      <alignment horizontal="center" vertical="center"/>
    </xf>
    <xf numFmtId="0" fontId="37" fillId="12" borderId="43" xfId="0" applyFont="1" applyFill="1" applyBorder="1" applyAlignment="1">
      <alignment horizontal="center" vertical="center"/>
    </xf>
    <xf numFmtId="0" fontId="35" fillId="10" borderId="2" xfId="0" applyFont="1" applyFill="1" applyBorder="1" applyAlignment="1">
      <alignment horizontal="center" vertical="center"/>
    </xf>
    <xf numFmtId="0" fontId="35" fillId="10" borderId="3" xfId="0" applyFont="1" applyFill="1" applyBorder="1" applyAlignment="1">
      <alignment horizontal="center" vertical="center"/>
    </xf>
    <xf numFmtId="0" fontId="44" fillId="0" borderId="45" xfId="0" applyFont="1" applyBorder="1" applyAlignment="1">
      <alignment horizontal="center" vertical="center"/>
    </xf>
    <xf numFmtId="0" fontId="44" fillId="0" borderId="19" xfId="0" applyFont="1" applyBorder="1" applyAlignment="1">
      <alignment horizontal="center" vertical="center"/>
    </xf>
    <xf numFmtId="0" fontId="35" fillId="10" borderId="33" xfId="0" applyFont="1" applyFill="1" applyBorder="1" applyAlignment="1">
      <alignment horizontal="center" vertical="center"/>
    </xf>
    <xf numFmtId="0" fontId="35" fillId="10" borderId="76" xfId="0" applyFont="1" applyFill="1" applyBorder="1" applyAlignment="1">
      <alignment horizontal="center" vertical="center"/>
    </xf>
    <xf numFmtId="0" fontId="37" fillId="12" borderId="35" xfId="0" applyFont="1" applyFill="1" applyBorder="1" applyAlignment="1">
      <alignment horizontal="center" vertical="center"/>
    </xf>
    <xf numFmtId="0" fontId="37" fillId="12" borderId="36" xfId="0" applyFont="1" applyFill="1" applyBorder="1" applyAlignment="1">
      <alignment horizontal="center" vertical="center"/>
    </xf>
    <xf numFmtId="0" fontId="37" fillId="12" borderId="37" xfId="0" applyFont="1" applyFill="1" applyBorder="1" applyAlignment="1">
      <alignment horizontal="center" vertical="center"/>
    </xf>
    <xf numFmtId="0" fontId="37" fillId="12" borderId="53" xfId="0" applyFont="1" applyFill="1" applyBorder="1" applyAlignment="1">
      <alignment horizontal="center" vertical="center"/>
    </xf>
    <xf numFmtId="0" fontId="37" fillId="12" borderId="54" xfId="0" applyFont="1" applyFill="1" applyBorder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34" fillId="2" borderId="48" xfId="0" applyFont="1" applyFill="1" applyBorder="1" applyAlignment="1">
      <alignment horizontal="center" vertical="center"/>
    </xf>
    <xf numFmtId="0" fontId="34" fillId="2" borderId="32" xfId="0" applyFont="1" applyFill="1" applyBorder="1" applyAlignment="1">
      <alignment horizontal="center" vertical="center"/>
    </xf>
    <xf numFmtId="0" fontId="34" fillId="2" borderId="3" xfId="0" applyFont="1" applyFill="1" applyBorder="1" applyAlignment="1">
      <alignment horizontal="center" vertical="center"/>
    </xf>
    <xf numFmtId="0" fontId="34" fillId="2" borderId="17" xfId="0" applyFont="1" applyFill="1" applyBorder="1" applyAlignment="1">
      <alignment horizontal="center" vertical="center"/>
    </xf>
    <xf numFmtId="0" fontId="34" fillId="2" borderId="51" xfId="0" applyFont="1" applyFill="1" applyBorder="1" applyAlignment="1">
      <alignment horizontal="center" vertical="center"/>
    </xf>
    <xf numFmtId="0" fontId="34" fillId="2" borderId="4" xfId="0" applyFont="1" applyFill="1" applyBorder="1" applyAlignment="1">
      <alignment horizontal="center" vertical="center"/>
    </xf>
    <xf numFmtId="0" fontId="35" fillId="2" borderId="25" xfId="0" applyFont="1" applyFill="1" applyBorder="1" applyAlignment="1">
      <alignment horizontal="center" vertical="center"/>
    </xf>
    <xf numFmtId="0" fontId="35" fillId="2" borderId="26" xfId="0" applyFont="1" applyFill="1" applyBorder="1" applyAlignment="1">
      <alignment horizontal="center" vertical="center"/>
    </xf>
    <xf numFmtId="0" fontId="35" fillId="2" borderId="29" xfId="0" applyFont="1" applyFill="1" applyBorder="1" applyAlignment="1">
      <alignment horizontal="center" vertical="center"/>
    </xf>
    <xf numFmtId="0" fontId="34" fillId="2" borderId="8" xfId="0" applyFont="1" applyFill="1" applyBorder="1" applyAlignment="1">
      <alignment horizontal="center" vertical="center"/>
    </xf>
    <xf numFmtId="0" fontId="34" fillId="2" borderId="10" xfId="0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16" fontId="34" fillId="2" borderId="1" xfId="0" applyNumberFormat="1" applyFont="1" applyFill="1" applyBorder="1" applyAlignment="1">
      <alignment horizontal="center" vertical="center"/>
    </xf>
    <xf numFmtId="0" fontId="35" fillId="3" borderId="49" xfId="0" applyFont="1" applyFill="1" applyBorder="1" applyAlignment="1">
      <alignment horizontal="center" wrapText="1"/>
    </xf>
    <xf numFmtId="0" fontId="35" fillId="3" borderId="50" xfId="0" applyFont="1" applyFill="1" applyBorder="1" applyAlignment="1">
      <alignment horizontal="center" wrapText="1"/>
    </xf>
    <xf numFmtId="14" fontId="34" fillId="3" borderId="55" xfId="0" applyNumberFormat="1" applyFont="1" applyFill="1" applyBorder="1" applyAlignment="1">
      <alignment horizontal="center" vertical="center" wrapText="1"/>
    </xf>
    <xf numFmtId="14" fontId="34" fillId="3" borderId="33" xfId="0" applyNumberFormat="1" applyFont="1" applyFill="1" applyBorder="1" applyAlignment="1">
      <alignment horizontal="center" vertical="center" wrapText="1"/>
    </xf>
  </cellXfs>
  <cellStyles count="11">
    <cellStyle name="Millares 2" xfId="3" xr:uid="{00000000-0005-0000-0000-000000000000}"/>
    <cellStyle name="Millares 2 2" xfId="9" xr:uid="{00000000-0005-0000-0000-000001000000}"/>
    <cellStyle name="Millares 3" xfId="4" xr:uid="{00000000-0005-0000-0000-000002000000}"/>
    <cellStyle name="Millares 3 2" xfId="10" xr:uid="{00000000-0005-0000-0000-000003000000}"/>
    <cellStyle name="Millares 4" xfId="2" xr:uid="{00000000-0005-0000-0000-000004000000}"/>
    <cellStyle name="Millares 4 2" xfId="8" xr:uid="{00000000-0005-0000-0000-000005000000}"/>
    <cellStyle name="Normal" xfId="0" builtinId="0"/>
    <cellStyle name="Normal 2 2" xfId="1" xr:uid="{00000000-0005-0000-0000-000007000000}"/>
    <cellStyle name="Normal 6 2" xfId="5" xr:uid="{00000000-0005-0000-0000-000008000000}"/>
    <cellStyle name="Porcentaje 2" xfId="7" xr:uid="{00000000-0005-0000-0000-000009000000}"/>
    <cellStyle name="Porcentaje 3 2" xfId="6" xr:uid="{00000000-0005-0000-0000-00000A000000}"/>
  </cellStyles>
  <dxfs count="1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00CC99"/>
      <color rgb="FF33CC33"/>
      <color rgb="FFFF33CC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calcChain" Target="calcChain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163286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2D9219DB-1843-4887-9208-DE5E421A2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B6DE4A8-0858-436B-BB1C-79CC7AFF5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441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AF239"/>
  <sheetViews>
    <sheetView zoomScale="30" zoomScaleNormal="30" workbookViewId="0">
      <selection activeCell="M8" sqref="M8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8.710937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22" t="s">
        <v>5</v>
      </c>
      <c r="N11" s="1022"/>
      <c r="O11" s="6"/>
      <c r="P11" s="6"/>
      <c r="Q11" s="1"/>
      <c r="R11" s="1"/>
      <c r="S11" s="1" t="s">
        <v>6</v>
      </c>
      <c r="T11" s="95">
        <v>45378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25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26" t="s">
        <v>8</v>
      </c>
      <c r="M15" s="1026"/>
      <c r="N15" s="1026"/>
      <c r="O15" s="1026"/>
      <c r="P15" s="1026"/>
      <c r="Q15" s="1026"/>
      <c r="R15" s="1026"/>
      <c r="S15" s="1026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65"/>
      <c r="U17" s="159"/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f>(($B$27*X18)/1000)</f>
        <v>10.061999999999999</v>
      </c>
      <c r="C18" s="167">
        <f>(($C$27*X18)/1000)</f>
        <v>10.023</v>
      </c>
      <c r="D18" s="167">
        <f>((D27*$X$18)/1000)</f>
        <v>8.0990000000000002</v>
      </c>
      <c r="E18" s="167">
        <f t="shared" ref="E18:O18" si="0">((E27*$X$18)/1000)</f>
        <v>8.0990000000000002</v>
      </c>
      <c r="F18" s="167">
        <f t="shared" si="0"/>
        <v>8.0340000000000007</v>
      </c>
      <c r="G18" s="167">
        <f t="shared" si="0"/>
        <v>8.06</v>
      </c>
      <c r="H18" s="167">
        <f t="shared" si="0"/>
        <v>9.1</v>
      </c>
      <c r="I18" s="167">
        <f t="shared" si="0"/>
        <v>9.1389999999999993</v>
      </c>
      <c r="J18" s="167">
        <f t="shared" si="0"/>
        <v>9.1</v>
      </c>
      <c r="K18" s="168">
        <f t="shared" si="0"/>
        <v>9.1910000000000007</v>
      </c>
      <c r="L18" s="166">
        <f t="shared" si="0"/>
        <v>8.7360000000000007</v>
      </c>
      <c r="M18" s="167">
        <f t="shared" si="0"/>
        <v>8.6839999999999993</v>
      </c>
      <c r="N18" s="167">
        <f t="shared" si="0"/>
        <v>8.7880000000000003</v>
      </c>
      <c r="O18" s="167">
        <f t="shared" si="0"/>
        <v>8.7100000000000009</v>
      </c>
      <c r="P18" s="167">
        <f>((P27*$X$18)/1000)</f>
        <v>8.6709999999999994</v>
      </c>
      <c r="Q18" s="167">
        <f>((Q27*$X$18)/1000)</f>
        <v>8.7750000000000004</v>
      </c>
      <c r="R18" s="167">
        <f>((R27*$X$18)/1000)</f>
        <v>8.8140000000000001</v>
      </c>
      <c r="S18" s="167">
        <f>((S27*$X$18)/1000)</f>
        <v>8.7880000000000003</v>
      </c>
      <c r="T18" s="19"/>
      <c r="U18" s="20"/>
      <c r="V18" s="98">
        <f t="shared" ref="V18:V23" si="1">SUM(B18:U18)</f>
        <v>158.87299999999999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>((B27*$X$19)/1000)</f>
        <v>11.61</v>
      </c>
      <c r="C19" s="19">
        <f t="shared" ref="C19:O19" si="2">((C27*$X$19)/1000)</f>
        <v>11.565</v>
      </c>
      <c r="D19" s="19">
        <f t="shared" si="2"/>
        <v>9.3450000000000006</v>
      </c>
      <c r="E19" s="19">
        <f t="shared" si="2"/>
        <v>9.3450000000000006</v>
      </c>
      <c r="F19" s="19">
        <f t="shared" si="2"/>
        <v>9.27</v>
      </c>
      <c r="G19" s="19">
        <f t="shared" si="2"/>
        <v>9.3000000000000007</v>
      </c>
      <c r="H19" s="19">
        <f t="shared" si="2"/>
        <v>10.5</v>
      </c>
      <c r="I19" s="19">
        <f t="shared" si="2"/>
        <v>10.545</v>
      </c>
      <c r="J19" s="19">
        <f t="shared" si="2"/>
        <v>10.5</v>
      </c>
      <c r="K19" s="104">
        <f t="shared" si="2"/>
        <v>10.605</v>
      </c>
      <c r="L19" s="18">
        <f t="shared" si="2"/>
        <v>10.08</v>
      </c>
      <c r="M19" s="19">
        <f t="shared" si="2"/>
        <v>10.02</v>
      </c>
      <c r="N19" s="19">
        <f t="shared" si="2"/>
        <v>10.14</v>
      </c>
      <c r="O19" s="19">
        <f t="shared" si="2"/>
        <v>10.050000000000001</v>
      </c>
      <c r="P19" s="19">
        <f>((P27*$X$19)/1000)</f>
        <v>10.005000000000001</v>
      </c>
      <c r="Q19" s="19">
        <f>((Q27*$X$19)/1000)</f>
        <v>10.125</v>
      </c>
      <c r="R19" s="19">
        <f>((R27*$X$19)/1000)</f>
        <v>10.17</v>
      </c>
      <c r="S19" s="19">
        <f>((S27*$X$19)/1000)</f>
        <v>10.14</v>
      </c>
      <c r="T19" s="19"/>
      <c r="U19" s="20"/>
      <c r="V19" s="98">
        <f t="shared" si="1"/>
        <v>183.315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>((B27*$X$20)/1000)</f>
        <v>13.545</v>
      </c>
      <c r="C20" s="19">
        <f t="shared" ref="C20:J20" si="3">((C27*$X$20)/1000)</f>
        <v>13.4925</v>
      </c>
      <c r="D20" s="19">
        <f t="shared" si="3"/>
        <v>10.9025</v>
      </c>
      <c r="E20" s="19">
        <f t="shared" si="3"/>
        <v>10.9025</v>
      </c>
      <c r="F20" s="19">
        <f t="shared" si="3"/>
        <v>10.815</v>
      </c>
      <c r="G20" s="19">
        <f t="shared" si="3"/>
        <v>10.85</v>
      </c>
      <c r="H20" s="19">
        <f t="shared" si="3"/>
        <v>12.25</v>
      </c>
      <c r="I20" s="19">
        <f t="shared" si="3"/>
        <v>12.3025</v>
      </c>
      <c r="J20" s="19">
        <f t="shared" si="3"/>
        <v>12.25</v>
      </c>
      <c r="K20" s="104">
        <f t="shared" ref="K20:S20" si="4">((K27*$X$20)/1000)</f>
        <v>12.3725</v>
      </c>
      <c r="L20" s="18">
        <f t="shared" si="4"/>
        <v>11.76</v>
      </c>
      <c r="M20" s="19">
        <f t="shared" si="4"/>
        <v>11.69</v>
      </c>
      <c r="N20" s="19">
        <f t="shared" si="4"/>
        <v>11.83</v>
      </c>
      <c r="O20" s="19">
        <f t="shared" si="4"/>
        <v>11.725</v>
      </c>
      <c r="P20" s="19">
        <f t="shared" si="4"/>
        <v>11.672499999999999</v>
      </c>
      <c r="Q20" s="19">
        <f t="shared" si="4"/>
        <v>11.8125</v>
      </c>
      <c r="R20" s="19">
        <f t="shared" si="4"/>
        <v>11.865</v>
      </c>
      <c r="S20" s="19">
        <f t="shared" si="4"/>
        <v>11.83</v>
      </c>
      <c r="T20" s="19"/>
      <c r="U20" s="20"/>
      <c r="V20" s="98">
        <f t="shared" si="1"/>
        <v>213.86750000000004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>((B27*$X$21)/1000)</f>
        <v>16.640999999999998</v>
      </c>
      <c r="C21" s="19">
        <f t="shared" ref="C21:I21" si="5">((C27*$X$21)/1000)</f>
        <v>16.576499999999999</v>
      </c>
      <c r="D21" s="19">
        <f t="shared" si="5"/>
        <v>13.394500000000001</v>
      </c>
      <c r="E21" s="19">
        <f t="shared" si="5"/>
        <v>13.394500000000001</v>
      </c>
      <c r="F21" s="19">
        <f t="shared" si="5"/>
        <v>13.287000000000001</v>
      </c>
      <c r="G21" s="19">
        <f t="shared" si="5"/>
        <v>13.33</v>
      </c>
      <c r="H21" s="19">
        <f t="shared" si="5"/>
        <v>15.05</v>
      </c>
      <c r="I21" s="19">
        <f t="shared" si="5"/>
        <v>15.1145</v>
      </c>
      <c r="J21" s="19">
        <f t="shared" ref="J21:S21" si="6">((J27*$X$21)/1000)</f>
        <v>15.05</v>
      </c>
      <c r="K21" s="104">
        <f t="shared" si="6"/>
        <v>15.2005</v>
      </c>
      <c r="L21" s="18">
        <f t="shared" si="6"/>
        <v>14.448</v>
      </c>
      <c r="M21" s="19">
        <f t="shared" si="6"/>
        <v>14.362</v>
      </c>
      <c r="N21" s="19">
        <f t="shared" si="6"/>
        <v>14.534000000000001</v>
      </c>
      <c r="O21" s="19">
        <f t="shared" si="6"/>
        <v>14.404999999999999</v>
      </c>
      <c r="P21" s="19">
        <f t="shared" si="6"/>
        <v>14.3405</v>
      </c>
      <c r="Q21" s="19">
        <f t="shared" si="6"/>
        <v>14.512499999999999</v>
      </c>
      <c r="R21" s="19">
        <f t="shared" si="6"/>
        <v>14.577</v>
      </c>
      <c r="S21" s="19">
        <f t="shared" si="6"/>
        <v>14.534000000000001</v>
      </c>
      <c r="T21" s="19"/>
      <c r="U21" s="20"/>
      <c r="V21" s="98">
        <f t="shared" si="1"/>
        <v>262.75150000000002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>((B27*$X$22)/1000)</f>
        <v>20.123999999999999</v>
      </c>
      <c r="C22" s="19">
        <f t="shared" ref="C22:I22" si="7">((C27*$X$22)/1000)</f>
        <v>20.045999999999999</v>
      </c>
      <c r="D22" s="19">
        <f t="shared" si="7"/>
        <v>16.198</v>
      </c>
      <c r="E22" s="19">
        <f t="shared" si="7"/>
        <v>16.198</v>
      </c>
      <c r="F22" s="19">
        <f t="shared" si="7"/>
        <v>16.068000000000001</v>
      </c>
      <c r="G22" s="19">
        <f t="shared" si="7"/>
        <v>16.12</v>
      </c>
      <c r="H22" s="19">
        <f t="shared" si="7"/>
        <v>18.2</v>
      </c>
      <c r="I22" s="19">
        <f t="shared" si="7"/>
        <v>18.277999999999999</v>
      </c>
      <c r="J22" s="19">
        <f t="shared" ref="J22:S22" si="8">((J27*$X$22)/1000)</f>
        <v>18.2</v>
      </c>
      <c r="K22" s="104">
        <f t="shared" si="8"/>
        <v>18.382000000000001</v>
      </c>
      <c r="L22" s="18">
        <f t="shared" si="8"/>
        <v>17.472000000000001</v>
      </c>
      <c r="M22" s="19">
        <f t="shared" si="8"/>
        <v>17.367999999999999</v>
      </c>
      <c r="N22" s="19">
        <f t="shared" si="8"/>
        <v>17.576000000000001</v>
      </c>
      <c r="O22" s="19">
        <f t="shared" si="8"/>
        <v>17.420000000000002</v>
      </c>
      <c r="P22" s="19">
        <f t="shared" si="8"/>
        <v>17.341999999999999</v>
      </c>
      <c r="Q22" s="19">
        <f t="shared" si="8"/>
        <v>17.55</v>
      </c>
      <c r="R22" s="19">
        <f t="shared" si="8"/>
        <v>17.628</v>
      </c>
      <c r="S22" s="19">
        <f t="shared" si="8"/>
        <v>17.576000000000001</v>
      </c>
      <c r="T22" s="19"/>
      <c r="U22" s="20"/>
      <c r="V22" s="98">
        <f t="shared" si="1"/>
        <v>317.74599999999998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>((B27*$X$23)/1000)</f>
        <v>21.672000000000001</v>
      </c>
      <c r="C23" s="19">
        <f t="shared" ref="C23:J23" si="9">((C27*$X$23)/1000)</f>
        <v>21.588000000000001</v>
      </c>
      <c r="D23" s="19">
        <f t="shared" si="9"/>
        <v>17.443999999999999</v>
      </c>
      <c r="E23" s="19">
        <f t="shared" si="9"/>
        <v>17.443999999999999</v>
      </c>
      <c r="F23" s="19">
        <f t="shared" si="9"/>
        <v>17.303999999999998</v>
      </c>
      <c r="G23" s="19">
        <f t="shared" si="9"/>
        <v>17.36</v>
      </c>
      <c r="H23" s="19">
        <f t="shared" si="9"/>
        <v>19.600000000000001</v>
      </c>
      <c r="I23" s="19">
        <f t="shared" si="9"/>
        <v>19.684000000000001</v>
      </c>
      <c r="J23" s="19">
        <f t="shared" si="9"/>
        <v>19.600000000000001</v>
      </c>
      <c r="K23" s="104">
        <f t="shared" ref="K23:S23" si="10">((K27*$X$23)/1000)</f>
        <v>19.795999999999999</v>
      </c>
      <c r="L23" s="18">
        <f t="shared" si="10"/>
        <v>18.815999999999999</v>
      </c>
      <c r="M23" s="19">
        <f t="shared" si="10"/>
        <v>18.704000000000001</v>
      </c>
      <c r="N23" s="19">
        <f t="shared" si="10"/>
        <v>18.928000000000001</v>
      </c>
      <c r="O23" s="19">
        <f t="shared" si="10"/>
        <v>18.760000000000002</v>
      </c>
      <c r="P23" s="19">
        <f t="shared" si="10"/>
        <v>18.675999999999998</v>
      </c>
      <c r="Q23" s="19">
        <f t="shared" si="10"/>
        <v>18.899999999999999</v>
      </c>
      <c r="R23" s="19">
        <f t="shared" si="10"/>
        <v>18.984000000000002</v>
      </c>
      <c r="S23" s="19">
        <f t="shared" si="10"/>
        <v>18.928000000000001</v>
      </c>
      <c r="T23" s="19"/>
      <c r="U23" s="20"/>
      <c r="V23" s="98">
        <f t="shared" si="1"/>
        <v>342.18799999999993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>((B27*$X$24)/1000)</f>
        <v>22.832999999999998</v>
      </c>
      <c r="C24" s="19">
        <f t="shared" ref="C24:J24" si="11">((C27*$X$24)/1000)</f>
        <v>22.744499999999999</v>
      </c>
      <c r="D24" s="19">
        <f t="shared" si="11"/>
        <v>18.378499999999999</v>
      </c>
      <c r="E24" s="19">
        <f t="shared" si="11"/>
        <v>18.378499999999999</v>
      </c>
      <c r="F24" s="19">
        <f t="shared" si="11"/>
        <v>18.231000000000002</v>
      </c>
      <c r="G24" s="19">
        <f t="shared" si="11"/>
        <v>18.29</v>
      </c>
      <c r="H24" s="19">
        <f t="shared" si="11"/>
        <v>20.65</v>
      </c>
      <c r="I24" s="19">
        <f t="shared" si="11"/>
        <v>20.738499999999998</v>
      </c>
      <c r="J24" s="19">
        <f t="shared" si="11"/>
        <v>20.65</v>
      </c>
      <c r="K24" s="104">
        <f t="shared" ref="K24:S24" si="12">((K27*$X$24)/1000)</f>
        <v>20.8565</v>
      </c>
      <c r="L24" s="18">
        <f t="shared" si="12"/>
        <v>19.824000000000002</v>
      </c>
      <c r="M24" s="19">
        <f t="shared" si="12"/>
        <v>19.706</v>
      </c>
      <c r="N24" s="19">
        <f t="shared" si="12"/>
        <v>19.942</v>
      </c>
      <c r="O24" s="19">
        <f t="shared" si="12"/>
        <v>19.765000000000001</v>
      </c>
      <c r="P24" s="19">
        <f t="shared" si="12"/>
        <v>19.676500000000001</v>
      </c>
      <c r="Q24" s="19">
        <f t="shared" si="12"/>
        <v>19.912500000000001</v>
      </c>
      <c r="R24" s="19">
        <f t="shared" si="12"/>
        <v>20.001000000000001</v>
      </c>
      <c r="S24" s="19">
        <f t="shared" si="12"/>
        <v>19.942</v>
      </c>
      <c r="T24" s="19"/>
      <c r="U24" s="20"/>
      <c r="V24" s="98">
        <f>SUM(B24:U24)</f>
        <v>360.51949999999999</v>
      </c>
      <c r="X24" s="2">
        <v>29.5</v>
      </c>
    </row>
    <row r="25" spans="1:32" ht="41.45" customHeight="1" x14ac:dyDescent="0.25">
      <c r="A25" s="147" t="s">
        <v>9</v>
      </c>
      <c r="B25" s="21">
        <f t="shared" ref="B25:G25" si="13">SUM(B18:B24)</f>
        <v>116.48699999999999</v>
      </c>
      <c r="C25" s="22">
        <f t="shared" si="13"/>
        <v>116.0355</v>
      </c>
      <c r="D25" s="22">
        <f t="shared" si="13"/>
        <v>93.761499999999998</v>
      </c>
      <c r="E25" s="22">
        <f t="shared" si="13"/>
        <v>93.761499999999998</v>
      </c>
      <c r="F25" s="22">
        <f t="shared" si="13"/>
        <v>93.009000000000015</v>
      </c>
      <c r="G25" s="22">
        <f t="shared" si="13"/>
        <v>93.31</v>
      </c>
      <c r="H25" s="22">
        <f t="shared" ref="H25:Q25" si="14">SUM(H18:H24)</f>
        <v>105.35000000000002</v>
      </c>
      <c r="I25" s="22">
        <f t="shared" si="14"/>
        <v>105.80149999999999</v>
      </c>
      <c r="J25" s="22">
        <f t="shared" si="14"/>
        <v>105.35000000000002</v>
      </c>
      <c r="K25" s="154">
        <f t="shared" si="14"/>
        <v>106.40349999999999</v>
      </c>
      <c r="L25" s="21">
        <f t="shared" si="14"/>
        <v>101.136</v>
      </c>
      <c r="M25" s="22">
        <f t="shared" si="14"/>
        <v>100.53400000000001</v>
      </c>
      <c r="N25" s="22">
        <f t="shared" si="14"/>
        <v>101.738</v>
      </c>
      <c r="O25" s="22">
        <f t="shared" si="14"/>
        <v>100.83500000000001</v>
      </c>
      <c r="P25" s="19">
        <f t="shared" si="14"/>
        <v>100.3835</v>
      </c>
      <c r="Q25" s="19">
        <f t="shared" si="14"/>
        <v>101.58749999999998</v>
      </c>
      <c r="R25" s="19">
        <f>SUM(R18:R24)</f>
        <v>102.03900000000002</v>
      </c>
      <c r="S25" s="19">
        <f>SUM(S18:S24)</f>
        <v>101.738</v>
      </c>
      <c r="T25" s="19"/>
      <c r="U25" s="153"/>
      <c r="V25" s="98">
        <f>SUM(V18:V24)</f>
        <v>1839.2604999999999</v>
      </c>
    </row>
    <row r="26" spans="1:32" s="2" customFormat="1" ht="36.75" customHeight="1" x14ac:dyDescent="0.25">
      <c r="A26" s="148" t="s">
        <v>11</v>
      </c>
      <c r="B26" s="23">
        <v>21.1</v>
      </c>
      <c r="C26" s="24">
        <v>21.1</v>
      </c>
      <c r="D26" s="24">
        <v>21.1</v>
      </c>
      <c r="E26" s="24">
        <v>21.1</v>
      </c>
      <c r="F26" s="24">
        <v>21.1</v>
      </c>
      <c r="G26" s="24">
        <v>21.1</v>
      </c>
      <c r="H26" s="24">
        <v>21.1</v>
      </c>
      <c r="I26" s="24">
        <v>21.1</v>
      </c>
      <c r="J26" s="24">
        <v>21.1</v>
      </c>
      <c r="K26" s="155">
        <v>21.1</v>
      </c>
      <c r="L26" s="23">
        <v>21.1</v>
      </c>
      <c r="M26" s="24">
        <v>21.1</v>
      </c>
      <c r="N26" s="24">
        <v>21.1</v>
      </c>
      <c r="O26" s="24">
        <v>21.1</v>
      </c>
      <c r="P26" s="24">
        <v>21.1</v>
      </c>
      <c r="Q26" s="24">
        <v>21.1</v>
      </c>
      <c r="R26" s="24">
        <v>21.1</v>
      </c>
      <c r="S26" s="24">
        <v>21.1</v>
      </c>
      <c r="T26" s="24"/>
      <c r="U26" s="25"/>
      <c r="V26" s="99">
        <f>((V25/V27)/7)*1000</f>
        <v>21.5</v>
      </c>
    </row>
    <row r="27" spans="1:32" s="2" customFormat="1" ht="33" customHeight="1" x14ac:dyDescent="0.25">
      <c r="A27" s="149" t="s">
        <v>12</v>
      </c>
      <c r="B27" s="26">
        <v>774</v>
      </c>
      <c r="C27" s="27">
        <v>771</v>
      </c>
      <c r="D27" s="27">
        <v>623</v>
      </c>
      <c r="E27" s="27">
        <v>623</v>
      </c>
      <c r="F27" s="27">
        <v>618</v>
      </c>
      <c r="G27" s="27">
        <v>620</v>
      </c>
      <c r="H27" s="27">
        <v>700</v>
      </c>
      <c r="I27" s="27">
        <v>703</v>
      </c>
      <c r="J27" s="27">
        <v>700</v>
      </c>
      <c r="K27" s="156">
        <v>707</v>
      </c>
      <c r="L27" s="26">
        <v>672</v>
      </c>
      <c r="M27" s="27">
        <v>668</v>
      </c>
      <c r="N27" s="27">
        <v>676</v>
      </c>
      <c r="O27" s="27">
        <v>670</v>
      </c>
      <c r="P27" s="27">
        <v>667</v>
      </c>
      <c r="Q27" s="27">
        <v>675</v>
      </c>
      <c r="R27" s="27">
        <v>678</v>
      </c>
      <c r="S27" s="27">
        <v>676</v>
      </c>
      <c r="T27" s="27"/>
      <c r="U27" s="28"/>
      <c r="V27" s="29">
        <f>SUM(B27,C27,D27,E27,F27,G27,H27,I27,J27,K27,L27,M27,N27,O27,P27,Q27,R27,S27)</f>
        <v>12221</v>
      </c>
      <c r="W27" s="2">
        <f>((V25*1000)/V27)/7</f>
        <v>21.499999999999996</v>
      </c>
    </row>
    <row r="28" spans="1:32" s="2" customFormat="1" ht="33" customHeight="1" x14ac:dyDescent="0.25">
      <c r="A28" s="150" t="s">
        <v>13</v>
      </c>
      <c r="B28" s="30">
        <f t="shared" ref="B28:J28" si="15">(B27*B26)/1000</f>
        <v>16.331400000000002</v>
      </c>
      <c r="C28" s="31">
        <f t="shared" si="15"/>
        <v>16.2681</v>
      </c>
      <c r="D28" s="31">
        <f t="shared" si="15"/>
        <v>13.145300000000001</v>
      </c>
      <c r="E28" s="31">
        <f t="shared" si="15"/>
        <v>13.145300000000001</v>
      </c>
      <c r="F28" s="31">
        <f t="shared" si="15"/>
        <v>13.039800000000001</v>
      </c>
      <c r="G28" s="31">
        <f t="shared" si="15"/>
        <v>13.082000000000001</v>
      </c>
      <c r="H28" s="31">
        <f t="shared" si="15"/>
        <v>14.770000000000001</v>
      </c>
      <c r="I28" s="31">
        <f t="shared" si="15"/>
        <v>14.833300000000001</v>
      </c>
      <c r="J28" s="31">
        <f t="shared" si="15"/>
        <v>14.770000000000001</v>
      </c>
      <c r="K28" s="142">
        <f t="shared" ref="K28:S28" si="16">(K27*K26)/1000</f>
        <v>14.9177</v>
      </c>
      <c r="L28" s="30">
        <f t="shared" si="16"/>
        <v>14.179200000000002</v>
      </c>
      <c r="M28" s="31">
        <f t="shared" si="16"/>
        <v>14.094800000000001</v>
      </c>
      <c r="N28" s="31">
        <f t="shared" si="16"/>
        <v>14.2636</v>
      </c>
      <c r="O28" s="31">
        <f t="shared" si="16"/>
        <v>14.137000000000002</v>
      </c>
      <c r="P28" s="31">
        <f t="shared" si="16"/>
        <v>14.073700000000001</v>
      </c>
      <c r="Q28" s="31">
        <f t="shared" si="16"/>
        <v>14.242500000000001</v>
      </c>
      <c r="R28" s="31">
        <f t="shared" si="16"/>
        <v>14.305800000000001</v>
      </c>
      <c r="S28" s="31">
        <f t="shared" si="16"/>
        <v>14.2636</v>
      </c>
      <c r="T28" s="31"/>
      <c r="U28" s="32"/>
      <c r="V28" s="33"/>
    </row>
    <row r="29" spans="1:32" ht="33.75" customHeight="1" x14ac:dyDescent="0.25">
      <c r="A29" s="151" t="s">
        <v>14</v>
      </c>
      <c r="B29" s="34">
        <f t="shared" ref="B29:J29" si="17">((B27*B26)*7)/1000</f>
        <v>114.31980000000001</v>
      </c>
      <c r="C29" s="35">
        <f t="shared" si="17"/>
        <v>113.8767</v>
      </c>
      <c r="D29" s="35">
        <f t="shared" si="17"/>
        <v>92.017099999999999</v>
      </c>
      <c r="E29" s="35">
        <f t="shared" si="17"/>
        <v>92.017099999999999</v>
      </c>
      <c r="F29" s="35">
        <f t="shared" si="17"/>
        <v>91.278600000000012</v>
      </c>
      <c r="G29" s="35">
        <f t="shared" si="17"/>
        <v>91.573999999999998</v>
      </c>
      <c r="H29" s="35">
        <f t="shared" si="17"/>
        <v>103.39000000000001</v>
      </c>
      <c r="I29" s="35">
        <f t="shared" si="17"/>
        <v>103.8331</v>
      </c>
      <c r="J29" s="35">
        <f t="shared" si="17"/>
        <v>103.39000000000001</v>
      </c>
      <c r="K29" s="157">
        <f t="shared" ref="K29:S29" si="18">((K27*K26)*7)/1000</f>
        <v>104.4239</v>
      </c>
      <c r="L29" s="34">
        <f t="shared" si="18"/>
        <v>99.254400000000004</v>
      </c>
      <c r="M29" s="35">
        <f t="shared" si="18"/>
        <v>98.663600000000002</v>
      </c>
      <c r="N29" s="35">
        <f t="shared" si="18"/>
        <v>99.845199999999991</v>
      </c>
      <c r="O29" s="35">
        <f t="shared" si="18"/>
        <v>98.959000000000017</v>
      </c>
      <c r="P29" s="35">
        <f t="shared" si="18"/>
        <v>98.515900000000002</v>
      </c>
      <c r="Q29" s="35">
        <f t="shared" si="18"/>
        <v>99.697500000000019</v>
      </c>
      <c r="R29" s="35">
        <f t="shared" si="18"/>
        <v>100.14060000000001</v>
      </c>
      <c r="S29" s="35">
        <f t="shared" si="18"/>
        <v>99.845199999999991</v>
      </c>
      <c r="T29" s="35"/>
      <c r="U29" s="116"/>
      <c r="V29" s="36"/>
    </row>
    <row r="30" spans="1:32" ht="33.75" customHeight="1" thickBot="1" x14ac:dyDescent="0.3">
      <c r="A30" s="152" t="s">
        <v>15</v>
      </c>
      <c r="B30" s="37">
        <f t="shared" ref="B30:J30" si="19">+(B25/B27)/7*1000</f>
        <v>21.5</v>
      </c>
      <c r="C30" s="38">
        <f t="shared" si="19"/>
        <v>21.5</v>
      </c>
      <c r="D30" s="38">
        <f t="shared" si="19"/>
        <v>21.5</v>
      </c>
      <c r="E30" s="38">
        <f t="shared" si="19"/>
        <v>21.5</v>
      </c>
      <c r="F30" s="38">
        <f t="shared" si="19"/>
        <v>21.5</v>
      </c>
      <c r="G30" s="38">
        <f t="shared" si="19"/>
        <v>21.5</v>
      </c>
      <c r="H30" s="38">
        <f t="shared" si="19"/>
        <v>21.5</v>
      </c>
      <c r="I30" s="38">
        <f t="shared" si="19"/>
        <v>21.5</v>
      </c>
      <c r="J30" s="38">
        <f t="shared" si="19"/>
        <v>21.5</v>
      </c>
      <c r="K30" s="158">
        <f t="shared" ref="K30:S30" si="20">+(K25/K27)/7*1000</f>
        <v>21.5</v>
      </c>
      <c r="L30" s="37">
        <f t="shared" si="20"/>
        <v>21.5</v>
      </c>
      <c r="M30" s="38">
        <f t="shared" si="20"/>
        <v>21.5</v>
      </c>
      <c r="N30" s="38">
        <f t="shared" si="20"/>
        <v>21.5</v>
      </c>
      <c r="O30" s="38">
        <f t="shared" si="20"/>
        <v>21.5</v>
      </c>
      <c r="P30" s="38">
        <f t="shared" si="20"/>
        <v>21.5</v>
      </c>
      <c r="Q30" s="38">
        <f t="shared" si="20"/>
        <v>21.499999999999996</v>
      </c>
      <c r="R30" s="38">
        <f t="shared" si="20"/>
        <v>21.5</v>
      </c>
      <c r="S30" s="38">
        <f t="shared" si="20"/>
        <v>21.5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23" t="s">
        <v>17</v>
      </c>
      <c r="C36" s="1024"/>
      <c r="D36" s="1024"/>
      <c r="E36" s="1024"/>
      <c r="F36" s="1024"/>
      <c r="G36" s="1024"/>
      <c r="H36" s="75"/>
      <c r="L36" s="44"/>
      <c r="M36" s="88" t="s">
        <v>18</v>
      </c>
      <c r="N36" s="1016" t="s">
        <v>17</v>
      </c>
      <c r="O36" s="1016"/>
      <c r="P36" s="1016"/>
      <c r="Q36" s="1016"/>
      <c r="R36" s="1017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21" t="s">
        <v>27</v>
      </c>
      <c r="L37" s="1021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f>((B48*$K$39)/1000)</f>
        <v>7.2930000000000001</v>
      </c>
      <c r="C39" s="61">
        <f t="shared" ref="C39:C45" si="21">(($C$48*K39)/1000)</f>
        <v>7.28</v>
      </c>
      <c r="D39" s="61">
        <f t="shared" ref="D39:D45" si="22">(($D$48*K39)/1000)</f>
        <v>7.2670000000000003</v>
      </c>
      <c r="E39" s="61">
        <f t="shared" ref="E39:E45" si="23">(($E$48*K39)/1000)</f>
        <v>8.7490000000000006</v>
      </c>
      <c r="F39" s="61">
        <f t="shared" ref="F39:F45" si="24">(($F$48*K39)/1000)</f>
        <v>8.7230000000000008</v>
      </c>
      <c r="G39" s="94">
        <f t="shared" ref="G39:G45" si="25">(($G$48*K39)/1000)</f>
        <v>8.7100000000000009</v>
      </c>
      <c r="H39" s="127">
        <f t="shared" ref="H39:H46" si="26">SUM(B39:G39)</f>
        <v>48.021999999999998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11.115</v>
      </c>
      <c r="O39" s="101">
        <f>(($O$48*T39)/1000)</f>
        <v>9</v>
      </c>
      <c r="P39" s="101">
        <f>(($P$48*T39)/1000)</f>
        <v>11.025</v>
      </c>
      <c r="Q39" s="101">
        <f>(($Q$48*T39)/1000)</f>
        <v>8.9849999999999994</v>
      </c>
      <c r="R39" s="101">
        <f>(($R$48*T39)/1000)</f>
        <v>9.0449999999999999</v>
      </c>
      <c r="S39" s="77">
        <f t="shared" ref="S39:S46" si="27">SUM(N39:R39)</f>
        <v>49.17</v>
      </c>
      <c r="T39" s="2">
        <v>15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>((B48*$K$40)/1000)</f>
        <v>8.4149999999999991</v>
      </c>
      <c r="C40" s="61">
        <f t="shared" si="21"/>
        <v>8.4</v>
      </c>
      <c r="D40" s="61">
        <f t="shared" si="22"/>
        <v>8.3849999999999998</v>
      </c>
      <c r="E40" s="61">
        <f t="shared" si="23"/>
        <v>10.095000000000001</v>
      </c>
      <c r="F40" s="61">
        <f t="shared" si="24"/>
        <v>10.065</v>
      </c>
      <c r="G40" s="94">
        <f t="shared" si="25"/>
        <v>10.050000000000001</v>
      </c>
      <c r="H40" s="127">
        <f t="shared" si="26"/>
        <v>55.41</v>
      </c>
      <c r="I40" s="49"/>
      <c r="J40" s="49"/>
      <c r="K40" s="89">
        <v>15</v>
      </c>
      <c r="L40" s="90"/>
      <c r="M40" s="96" t="s">
        <v>24</v>
      </c>
      <c r="N40" s="101">
        <f t="shared" ref="N40:N45" si="28">(($N$48*T40)/1000)</f>
        <v>13.337999999999999</v>
      </c>
      <c r="O40" s="101">
        <f t="shared" ref="O40:O45" si="29">(($O$48*T40)/1000)</f>
        <v>10.8</v>
      </c>
      <c r="P40" s="101">
        <f t="shared" ref="P40:P45" si="30">(($P$48*T40)/1000)</f>
        <v>13.23</v>
      </c>
      <c r="Q40" s="101">
        <f t="shared" ref="Q40:Q45" si="31">(($Q$48*T40)/1000)</f>
        <v>10.782</v>
      </c>
      <c r="R40" s="101">
        <f t="shared" ref="R40:R45" si="32">(($R$48*T40)/1000)</f>
        <v>10.853999999999999</v>
      </c>
      <c r="S40" s="77">
        <f t="shared" si="27"/>
        <v>59.003999999999991</v>
      </c>
      <c r="T40" s="2">
        <v>18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>((B48*$K$41)/1000)</f>
        <v>9.8175000000000008</v>
      </c>
      <c r="C41" s="61">
        <f t="shared" si="21"/>
        <v>9.8000000000000007</v>
      </c>
      <c r="D41" s="61">
        <f t="shared" si="22"/>
        <v>9.7825000000000006</v>
      </c>
      <c r="E41" s="61">
        <f t="shared" si="23"/>
        <v>11.7775</v>
      </c>
      <c r="F41" s="61">
        <f t="shared" si="24"/>
        <v>11.7425</v>
      </c>
      <c r="G41" s="94">
        <f t="shared" si="25"/>
        <v>11.725</v>
      </c>
      <c r="H41" s="127">
        <f t="shared" si="26"/>
        <v>64.644999999999996</v>
      </c>
      <c r="I41" s="49"/>
      <c r="J41" s="49"/>
      <c r="K41" s="89">
        <v>17.5</v>
      </c>
      <c r="L41" s="90"/>
      <c r="M41" s="96" t="s">
        <v>20</v>
      </c>
      <c r="N41" s="101">
        <f t="shared" si="28"/>
        <v>17.042999999999999</v>
      </c>
      <c r="O41" s="101">
        <f t="shared" si="29"/>
        <v>13.8</v>
      </c>
      <c r="P41" s="101">
        <f t="shared" si="30"/>
        <v>16.905000000000001</v>
      </c>
      <c r="Q41" s="101">
        <f t="shared" si="31"/>
        <v>13.776999999999999</v>
      </c>
      <c r="R41" s="101">
        <f t="shared" si="32"/>
        <v>13.869</v>
      </c>
      <c r="S41" s="77">
        <f t="shared" si="27"/>
        <v>75.394000000000005</v>
      </c>
      <c r="T41" s="2">
        <v>23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>(($B$48*K42)/1000)</f>
        <v>12.061500000000001</v>
      </c>
      <c r="C42" s="61">
        <f t="shared" si="21"/>
        <v>12.04</v>
      </c>
      <c r="D42" s="61">
        <f t="shared" si="22"/>
        <v>12.0185</v>
      </c>
      <c r="E42" s="61">
        <f t="shared" si="23"/>
        <v>14.4695</v>
      </c>
      <c r="F42" s="61">
        <f t="shared" si="24"/>
        <v>14.426500000000001</v>
      </c>
      <c r="G42" s="94">
        <f t="shared" si="25"/>
        <v>14.404999999999999</v>
      </c>
      <c r="H42" s="127">
        <f t="shared" si="26"/>
        <v>79.421000000000006</v>
      </c>
      <c r="I42" s="49"/>
      <c r="J42" s="49"/>
      <c r="K42" s="89">
        <v>21.5</v>
      </c>
      <c r="L42" s="90"/>
      <c r="M42" s="96" t="s">
        <v>28</v>
      </c>
      <c r="N42" s="101">
        <f t="shared" si="28"/>
        <v>21.489000000000001</v>
      </c>
      <c r="O42" s="101">
        <f t="shared" si="29"/>
        <v>17.399999999999999</v>
      </c>
      <c r="P42" s="101">
        <f t="shared" si="30"/>
        <v>21.315000000000001</v>
      </c>
      <c r="Q42" s="101">
        <f t="shared" si="31"/>
        <v>17.370999999999999</v>
      </c>
      <c r="R42" s="101">
        <f t="shared" si="32"/>
        <v>17.486999999999998</v>
      </c>
      <c r="S42" s="77">
        <f t="shared" si="27"/>
        <v>95.061999999999983</v>
      </c>
      <c r="T42" s="2">
        <v>29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33">
        <f>(($B$48*K43)/1000)</f>
        <v>14.586</v>
      </c>
      <c r="C43" s="126">
        <f t="shared" si="21"/>
        <v>14.56</v>
      </c>
      <c r="D43" s="126">
        <f t="shared" si="22"/>
        <v>14.534000000000001</v>
      </c>
      <c r="E43" s="126">
        <f t="shared" si="23"/>
        <v>17.498000000000001</v>
      </c>
      <c r="F43" s="126">
        <f t="shared" si="24"/>
        <v>17.446000000000002</v>
      </c>
      <c r="G43" s="94">
        <f t="shared" si="25"/>
        <v>17.420000000000002</v>
      </c>
      <c r="H43" s="127">
        <f t="shared" si="26"/>
        <v>96.043999999999997</v>
      </c>
      <c r="I43" s="49"/>
      <c r="J43" s="49"/>
      <c r="K43" s="89">
        <v>26</v>
      </c>
      <c r="L43" s="90"/>
      <c r="M43" s="96" t="s">
        <v>21</v>
      </c>
      <c r="N43" s="101">
        <f t="shared" si="28"/>
        <v>26.675999999999998</v>
      </c>
      <c r="O43" s="101">
        <f t="shared" si="29"/>
        <v>21.6</v>
      </c>
      <c r="P43" s="101">
        <f t="shared" si="30"/>
        <v>26.46</v>
      </c>
      <c r="Q43" s="101">
        <f t="shared" si="31"/>
        <v>21.564</v>
      </c>
      <c r="R43" s="101">
        <f t="shared" si="32"/>
        <v>21.707999999999998</v>
      </c>
      <c r="S43" s="77">
        <f t="shared" si="27"/>
        <v>118.00799999999998</v>
      </c>
      <c r="T43" s="2">
        <v>36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33">
        <f>(($B$48*K44)/1000)</f>
        <v>15.708</v>
      </c>
      <c r="C44" s="126">
        <f t="shared" si="21"/>
        <v>15.68</v>
      </c>
      <c r="D44" s="126">
        <f t="shared" si="22"/>
        <v>15.651999999999999</v>
      </c>
      <c r="E44" s="126">
        <f t="shared" si="23"/>
        <v>18.844000000000001</v>
      </c>
      <c r="F44" s="126">
        <f t="shared" si="24"/>
        <v>18.788</v>
      </c>
      <c r="G44" s="94">
        <f t="shared" si="25"/>
        <v>18.760000000000002</v>
      </c>
      <c r="H44" s="127">
        <f t="shared" si="26"/>
        <v>103.432</v>
      </c>
      <c r="I44" s="49"/>
      <c r="J44" s="49"/>
      <c r="K44" s="89">
        <v>28</v>
      </c>
      <c r="L44" s="90"/>
      <c r="M44" s="96" t="s">
        <v>22</v>
      </c>
      <c r="N44" s="101">
        <f t="shared" si="28"/>
        <v>31.863</v>
      </c>
      <c r="O44" s="101">
        <f t="shared" si="29"/>
        <v>25.8</v>
      </c>
      <c r="P44" s="101">
        <f t="shared" si="30"/>
        <v>31.605</v>
      </c>
      <c r="Q44" s="101">
        <f t="shared" si="31"/>
        <v>25.757000000000001</v>
      </c>
      <c r="R44" s="101">
        <f t="shared" si="32"/>
        <v>25.928999999999998</v>
      </c>
      <c r="S44" s="77">
        <f t="shared" si="27"/>
        <v>140.95400000000001</v>
      </c>
      <c r="T44" s="2">
        <v>43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33">
        <f>(($B$48*K45)/1000)</f>
        <v>16.549499999999998</v>
      </c>
      <c r="C45" s="126">
        <f t="shared" si="21"/>
        <v>16.52</v>
      </c>
      <c r="D45" s="126">
        <f t="shared" si="22"/>
        <v>16.490500000000001</v>
      </c>
      <c r="E45" s="126">
        <f t="shared" si="23"/>
        <v>19.8535</v>
      </c>
      <c r="F45" s="126">
        <f t="shared" si="24"/>
        <v>19.794499999999999</v>
      </c>
      <c r="G45" s="94">
        <f t="shared" si="25"/>
        <v>19.765000000000001</v>
      </c>
      <c r="H45" s="127">
        <f t="shared" si="26"/>
        <v>108.973</v>
      </c>
      <c r="I45" s="49"/>
      <c r="J45" s="49"/>
      <c r="K45" s="89">
        <v>29.5</v>
      </c>
      <c r="L45" s="90"/>
      <c r="M45" s="96" t="s">
        <v>23</v>
      </c>
      <c r="N45" s="101">
        <f t="shared" si="28"/>
        <v>34.085999999999999</v>
      </c>
      <c r="O45" s="101">
        <f t="shared" si="29"/>
        <v>27.6</v>
      </c>
      <c r="P45" s="101">
        <f t="shared" si="30"/>
        <v>33.81</v>
      </c>
      <c r="Q45" s="101">
        <f t="shared" si="31"/>
        <v>27.553999999999998</v>
      </c>
      <c r="R45" s="101">
        <f t="shared" si="32"/>
        <v>27.738</v>
      </c>
      <c r="S45" s="77">
        <f t="shared" si="27"/>
        <v>150.78800000000001</v>
      </c>
      <c r="T45" s="2">
        <v>46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33">SUM(B39:B45)</f>
        <v>84.430499999999995</v>
      </c>
      <c r="C46" s="22">
        <f t="shared" si="33"/>
        <v>84.279999999999987</v>
      </c>
      <c r="D46" s="22">
        <f t="shared" si="33"/>
        <v>84.129499999999993</v>
      </c>
      <c r="E46" s="22">
        <f t="shared" si="33"/>
        <v>101.28649999999999</v>
      </c>
      <c r="F46" s="22">
        <f t="shared" si="33"/>
        <v>100.9855</v>
      </c>
      <c r="G46" s="22">
        <f t="shared" si="33"/>
        <v>100.83500000000001</v>
      </c>
      <c r="H46" s="127">
        <f t="shared" si="26"/>
        <v>555.947</v>
      </c>
      <c r="I46" s="49"/>
      <c r="J46" s="49"/>
      <c r="K46" s="49"/>
      <c r="M46" s="80" t="s">
        <v>9</v>
      </c>
      <c r="N46" s="62">
        <f>SUM(N39:N45)</f>
        <v>155.61000000000001</v>
      </c>
      <c r="O46" s="22">
        <f>SUM(O39:O45)</f>
        <v>126</v>
      </c>
      <c r="P46" s="22">
        <f>SUM(P39:P45)</f>
        <v>154.35000000000002</v>
      </c>
      <c r="Q46" s="22">
        <f>SUM(Q39:Q45)</f>
        <v>125.78999999999999</v>
      </c>
      <c r="R46" s="22">
        <f>SUM(R39:R45)</f>
        <v>126.63</v>
      </c>
      <c r="S46" s="77">
        <f t="shared" si="27"/>
        <v>688.38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21.1</v>
      </c>
      <c r="C47" s="24">
        <v>21.1</v>
      </c>
      <c r="D47" s="24">
        <v>21.1</v>
      </c>
      <c r="E47" s="24">
        <v>21.1</v>
      </c>
      <c r="F47" s="24">
        <v>21.1</v>
      </c>
      <c r="G47" s="25">
        <v>21.1</v>
      </c>
      <c r="H47" s="128">
        <f>+((H46/H48)/7)*1000</f>
        <v>21.5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36.762616822429905</v>
      </c>
      <c r="T47" s="50"/>
      <c r="U47" s="50"/>
    </row>
    <row r="48" spans="1:32" ht="33.75" customHeight="1" x14ac:dyDescent="0.25">
      <c r="A48" s="71" t="s">
        <v>12</v>
      </c>
      <c r="B48" s="26">
        <v>561</v>
      </c>
      <c r="C48" s="27">
        <v>560</v>
      </c>
      <c r="D48" s="27">
        <v>559</v>
      </c>
      <c r="E48" s="27">
        <v>673</v>
      </c>
      <c r="F48" s="27">
        <v>671</v>
      </c>
      <c r="G48" s="28">
        <v>670</v>
      </c>
      <c r="H48" s="129">
        <f>SUM(B48:G48)</f>
        <v>3694</v>
      </c>
      <c r="I48" s="106"/>
      <c r="J48" s="106"/>
      <c r="K48" s="49"/>
      <c r="L48" s="51"/>
      <c r="M48" s="71" t="s">
        <v>12</v>
      </c>
      <c r="N48" s="79">
        <v>741</v>
      </c>
      <c r="O48" s="79">
        <v>600</v>
      </c>
      <c r="P48" s="79">
        <v>735</v>
      </c>
      <c r="Q48" s="79">
        <v>599</v>
      </c>
      <c r="R48" s="79">
        <v>603</v>
      </c>
      <c r="S48" s="82">
        <f>SUM(N48:Q48)</f>
        <v>2675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34">(B48*B47)/1000</f>
        <v>11.8371</v>
      </c>
      <c r="C49" s="31">
        <f t="shared" si="34"/>
        <v>11.816000000000001</v>
      </c>
      <c r="D49" s="31">
        <f t="shared" si="34"/>
        <v>11.794900000000002</v>
      </c>
      <c r="E49" s="31">
        <f t="shared" si="34"/>
        <v>14.2003</v>
      </c>
      <c r="F49" s="31">
        <f t="shared" si="34"/>
        <v>14.158100000000001</v>
      </c>
      <c r="G49" s="31">
        <f t="shared" si="34"/>
        <v>14.137000000000002</v>
      </c>
      <c r="H49" s="130">
        <f>((H46*1000)/H48)/7</f>
        <v>21.5</v>
      </c>
      <c r="I49" s="107"/>
      <c r="J49" s="107"/>
      <c r="K49" s="49"/>
      <c r="M49" s="72" t="s">
        <v>13</v>
      </c>
      <c r="N49" s="65">
        <f>(N48*N47)/1000</f>
        <v>22.23</v>
      </c>
      <c r="O49" s="31">
        <f>(O48*O47)/1000</f>
        <v>18</v>
      </c>
      <c r="P49" s="31">
        <f>(P48*P47)/1000</f>
        <v>22.05</v>
      </c>
      <c r="Q49" s="31">
        <f>(Q48*Q47)/1000</f>
        <v>17.97</v>
      </c>
      <c r="R49" s="31">
        <f>(R48*R47)/1000</f>
        <v>18.09</v>
      </c>
      <c r="S49" s="83">
        <f>((S46*1000)/S48)/7</f>
        <v>36.762616822429905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35">((B48*B47)*7)/1000</f>
        <v>82.859700000000004</v>
      </c>
      <c r="C50" s="35">
        <f t="shared" si="35"/>
        <v>82.712000000000003</v>
      </c>
      <c r="D50" s="35">
        <f t="shared" si="35"/>
        <v>82.564300000000017</v>
      </c>
      <c r="E50" s="35">
        <f t="shared" si="35"/>
        <v>99.402100000000004</v>
      </c>
      <c r="F50" s="35">
        <f t="shared" si="35"/>
        <v>99.106700000000004</v>
      </c>
      <c r="G50" s="35">
        <f t="shared" si="35"/>
        <v>98.959000000000017</v>
      </c>
      <c r="H50" s="108"/>
      <c r="I50" s="41"/>
      <c r="J50" s="41"/>
      <c r="K50" s="49"/>
      <c r="M50" s="73" t="s">
        <v>14</v>
      </c>
      <c r="N50" s="66">
        <f>((N48*N47)*7)/1000</f>
        <v>155.61000000000001</v>
      </c>
      <c r="O50" s="35">
        <f>((O48*O47)*7)/1000</f>
        <v>126</v>
      </c>
      <c r="P50" s="35">
        <f>((P48*P47)*7)/1000</f>
        <v>154.35</v>
      </c>
      <c r="Q50" s="35">
        <f>((Q48*Q47)*7)/1000</f>
        <v>125.79</v>
      </c>
      <c r="R50" s="35">
        <f>((R48*R47)*7)/1000</f>
        <v>126.63</v>
      </c>
      <c r="S50" s="84"/>
    </row>
    <row r="51" spans="1:32" ht="33.75" customHeight="1" thickBot="1" x14ac:dyDescent="0.3">
      <c r="A51" s="74" t="s">
        <v>15</v>
      </c>
      <c r="B51" s="37">
        <f t="shared" ref="B51:G51" si="36">+(B46/B48)/7*1000</f>
        <v>21.5</v>
      </c>
      <c r="C51" s="38">
        <f t="shared" si="36"/>
        <v>21.499999999999996</v>
      </c>
      <c r="D51" s="38">
        <f t="shared" si="36"/>
        <v>21.5</v>
      </c>
      <c r="E51" s="38">
        <f t="shared" si="36"/>
        <v>21.5</v>
      </c>
      <c r="F51" s="38">
        <f t="shared" si="36"/>
        <v>21.5</v>
      </c>
      <c r="G51" s="38">
        <f t="shared" si="36"/>
        <v>21.5</v>
      </c>
      <c r="H51" s="131"/>
      <c r="I51" s="41"/>
      <c r="J51" s="41"/>
      <c r="K51" s="49"/>
      <c r="L51" s="41"/>
      <c r="M51" s="74" t="s">
        <v>15</v>
      </c>
      <c r="N51" s="67">
        <f>+(N46/N48)/7*1000</f>
        <v>30.000000000000004</v>
      </c>
      <c r="O51" s="38">
        <f>+(O46/O48)/7*1000</f>
        <v>30</v>
      </c>
      <c r="P51" s="38">
        <f>+(P46/P48)/7*1000</f>
        <v>30.000000000000004</v>
      </c>
      <c r="Q51" s="38">
        <f>+(Q46/Q48)/7*1000</f>
        <v>30</v>
      </c>
      <c r="R51" s="38">
        <f>+(R46/R48)/7*1000</f>
        <v>30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18"/>
      <c r="M54" s="1018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16" t="s">
        <v>30</v>
      </c>
      <c r="C55" s="1016"/>
      <c r="D55" s="1016"/>
      <c r="E55" s="1016"/>
      <c r="F55" s="1017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10.02</v>
      </c>
      <c r="C58" s="61">
        <f>(($C$67*K58)/1000)</f>
        <v>9.0299999999999994</v>
      </c>
      <c r="D58" s="61">
        <f t="shared" ref="D58:D64" si="37">(($D$67*K58)/1000)</f>
        <v>10.02</v>
      </c>
      <c r="E58" s="61">
        <f>(($E$67*K58)/1000)</f>
        <v>9.99</v>
      </c>
      <c r="F58" s="61">
        <f t="shared" ref="F58:F64" si="38">(($F$67*K58)/1000)</f>
        <v>9.99</v>
      </c>
      <c r="G58" s="77">
        <f t="shared" ref="G58:G65" si="39">SUM(B58:F58)</f>
        <v>49.05</v>
      </c>
      <c r="H58" s="42"/>
      <c r="I58" s="42"/>
      <c r="J58" s="42"/>
      <c r="K58" s="2">
        <v>15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0">(($B$67*K59)/1000)</f>
        <v>12.023999999999999</v>
      </c>
      <c r="C59" s="61">
        <f t="shared" ref="C59:C64" si="41">(($C$67*K59)/1000)</f>
        <v>10.836</v>
      </c>
      <c r="D59" s="61">
        <f t="shared" si="37"/>
        <v>12.023999999999999</v>
      </c>
      <c r="E59" s="61">
        <f t="shared" ref="E59:E64" si="42">(($E$67*K59)/1000)</f>
        <v>11.988</v>
      </c>
      <c r="F59" s="61">
        <f t="shared" si="38"/>
        <v>11.988</v>
      </c>
      <c r="G59" s="77">
        <f t="shared" si="39"/>
        <v>58.86</v>
      </c>
      <c r="H59" s="42"/>
      <c r="I59" s="42"/>
      <c r="J59" s="42"/>
      <c r="K59" s="2">
        <v>18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15.364000000000001</v>
      </c>
      <c r="C60" s="61">
        <f t="shared" si="41"/>
        <v>13.846</v>
      </c>
      <c r="D60" s="61">
        <f t="shared" si="37"/>
        <v>15.364000000000001</v>
      </c>
      <c r="E60" s="61">
        <f t="shared" si="42"/>
        <v>15.318</v>
      </c>
      <c r="F60" s="61">
        <f t="shared" si="38"/>
        <v>15.318</v>
      </c>
      <c r="G60" s="77">
        <f t="shared" si="39"/>
        <v>75.209999999999994</v>
      </c>
      <c r="H60" s="42"/>
      <c r="I60" s="42"/>
      <c r="J60" s="42"/>
      <c r="K60" s="2">
        <v>23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0"/>
        <v>19.372</v>
      </c>
      <c r="C61" s="61">
        <f t="shared" si="41"/>
        <v>17.457999999999998</v>
      </c>
      <c r="D61" s="61">
        <f t="shared" si="37"/>
        <v>19.372</v>
      </c>
      <c r="E61" s="61">
        <f t="shared" si="42"/>
        <v>19.314</v>
      </c>
      <c r="F61" s="61">
        <f t="shared" si="38"/>
        <v>19.314</v>
      </c>
      <c r="G61" s="77">
        <f t="shared" si="39"/>
        <v>94.829999999999984</v>
      </c>
      <c r="H61" s="42"/>
      <c r="I61" s="42"/>
      <c r="J61" s="42"/>
      <c r="K61" s="2">
        <v>29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0"/>
        <v>24.047999999999998</v>
      </c>
      <c r="C62" s="61">
        <f t="shared" si="41"/>
        <v>21.672000000000001</v>
      </c>
      <c r="D62" s="61">
        <f t="shared" si="37"/>
        <v>24.047999999999998</v>
      </c>
      <c r="E62" s="61">
        <f t="shared" si="42"/>
        <v>23.975999999999999</v>
      </c>
      <c r="F62" s="61">
        <f t="shared" si="38"/>
        <v>23.975999999999999</v>
      </c>
      <c r="G62" s="77">
        <f t="shared" si="39"/>
        <v>117.72</v>
      </c>
      <c r="H62" s="42"/>
      <c r="I62" s="42"/>
      <c r="J62" s="42"/>
      <c r="K62" s="2">
        <v>36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0"/>
        <v>28.724</v>
      </c>
      <c r="C63" s="61">
        <f t="shared" si="41"/>
        <v>25.885999999999999</v>
      </c>
      <c r="D63" s="61">
        <f t="shared" si="37"/>
        <v>28.724</v>
      </c>
      <c r="E63" s="61">
        <f t="shared" si="42"/>
        <v>28.638000000000002</v>
      </c>
      <c r="F63" s="61">
        <f t="shared" si="38"/>
        <v>28.638000000000002</v>
      </c>
      <c r="G63" s="77">
        <f t="shared" si="39"/>
        <v>140.61000000000001</v>
      </c>
      <c r="H63" s="42"/>
      <c r="I63" s="42"/>
      <c r="J63" s="42"/>
      <c r="K63" s="2">
        <v>43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0"/>
        <v>30.728000000000002</v>
      </c>
      <c r="C64" s="61">
        <f t="shared" si="41"/>
        <v>27.692</v>
      </c>
      <c r="D64" s="61">
        <f t="shared" si="37"/>
        <v>30.728000000000002</v>
      </c>
      <c r="E64" s="61">
        <f t="shared" si="42"/>
        <v>30.635999999999999</v>
      </c>
      <c r="F64" s="61">
        <f t="shared" si="38"/>
        <v>30.635999999999999</v>
      </c>
      <c r="G64" s="77">
        <f t="shared" si="39"/>
        <v>150.41999999999999</v>
      </c>
      <c r="H64" s="42"/>
      <c r="I64" s="42"/>
      <c r="J64" s="42"/>
      <c r="K64" s="2">
        <v>46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140.28</v>
      </c>
      <c r="C65" s="22">
        <f>SUM(C58:C64)</f>
        <v>126.41999999999999</v>
      </c>
      <c r="D65" s="22">
        <f>SUM(D58:D64)</f>
        <v>140.28</v>
      </c>
      <c r="E65" s="22">
        <f>SUM(E58:E64)</f>
        <v>139.86000000000001</v>
      </c>
      <c r="F65" s="22">
        <f>SUM(F58:F64)</f>
        <v>139.86000000000001</v>
      </c>
      <c r="G65" s="77">
        <f t="shared" si="39"/>
        <v>686.7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30.000000000000004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668</v>
      </c>
      <c r="C67" s="79">
        <v>602</v>
      </c>
      <c r="D67" s="79">
        <v>668</v>
      </c>
      <c r="E67" s="79">
        <v>666</v>
      </c>
      <c r="F67" s="79">
        <v>666</v>
      </c>
      <c r="G67" s="82">
        <f>SUM(B67:F67)</f>
        <v>3270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20.04</v>
      </c>
      <c r="C68" s="31">
        <f>(C67*C66)/1000</f>
        <v>18.059999999999999</v>
      </c>
      <c r="D68" s="31">
        <f>(D67*D66)/1000</f>
        <v>20.04</v>
      </c>
      <c r="E68" s="31">
        <f>(F67*F66)/1000</f>
        <v>0</v>
      </c>
      <c r="F68" s="31">
        <f>(F67*F66)/1000</f>
        <v>0</v>
      </c>
      <c r="G68" s="86">
        <f>((G65*1000)/G67)/7</f>
        <v>30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140.28</v>
      </c>
      <c r="C69" s="35">
        <f>((C67*C66)*7)/1000</f>
        <v>126.42</v>
      </c>
      <c r="D69" s="35">
        <f>((D67*D66)*7)/1000</f>
        <v>140.28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30</v>
      </c>
      <c r="C70" s="38">
        <f>+(C65/C67)/7*1000</f>
        <v>30</v>
      </c>
      <c r="D70" s="38">
        <f>+(D65/D67)/7*1000</f>
        <v>30</v>
      </c>
      <c r="E70" s="38">
        <f>+(E65/E67)/7*1000</f>
        <v>30.000000000000004</v>
      </c>
      <c r="F70" s="38">
        <f>+(F65/F67)/7*1000</f>
        <v>30.000000000000004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T9:U9"/>
    <mergeCell ref="M11:N11"/>
    <mergeCell ref="B36:G36"/>
    <mergeCell ref="B15:K15"/>
    <mergeCell ref="L15:S15"/>
    <mergeCell ref="B55:F55"/>
    <mergeCell ref="L54:M54"/>
    <mergeCell ref="N36:R36"/>
    <mergeCell ref="A3:C3"/>
    <mergeCell ref="E9:G9"/>
    <mergeCell ref="K37:L37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AF239"/>
  <sheetViews>
    <sheetView zoomScale="30" zoomScaleNormal="30" workbookViewId="0">
      <selection activeCell="X15" sqref="X1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22" t="s">
        <v>52</v>
      </c>
      <c r="N11" s="1022"/>
      <c r="O11" s="6"/>
      <c r="P11" s="6"/>
      <c r="Q11" s="1"/>
      <c r="R11" s="1"/>
      <c r="S11" s="1" t="s">
        <v>6</v>
      </c>
      <c r="T11" s="95">
        <v>45385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25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26" t="s">
        <v>8</v>
      </c>
      <c r="M15" s="1026"/>
      <c r="N15" s="1026"/>
      <c r="O15" s="1026"/>
      <c r="P15" s="1026"/>
      <c r="Q15" s="1026"/>
      <c r="R15" s="1026"/>
      <c r="S15" s="1026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17.153279999999999</v>
      </c>
      <c r="C18" s="167">
        <v>27.367819999999998</v>
      </c>
      <c r="D18" s="167">
        <v>16.31944</v>
      </c>
      <c r="E18" s="167">
        <v>16.349220000000003</v>
      </c>
      <c r="F18" s="167">
        <v>17.1235</v>
      </c>
      <c r="G18" s="167">
        <v>17.093720000000001</v>
      </c>
      <c r="H18" s="167">
        <v>24.896080000000001</v>
      </c>
      <c r="I18" s="167">
        <v>28.797260000000001</v>
      </c>
      <c r="J18" s="167">
        <v>18.106240000000003</v>
      </c>
      <c r="K18" s="168">
        <v>18.374260000000003</v>
      </c>
      <c r="L18" s="166">
        <v>10.161800000000001</v>
      </c>
      <c r="M18" s="167">
        <v>16.658200000000001</v>
      </c>
      <c r="N18" s="167">
        <v>15.2576</v>
      </c>
      <c r="O18" s="167">
        <v>15.2576</v>
      </c>
      <c r="P18" s="167">
        <v>17.552199999999999</v>
      </c>
      <c r="Q18" s="167">
        <v>17.582000000000001</v>
      </c>
      <c r="R18" s="167">
        <v>27.7438</v>
      </c>
      <c r="S18" s="167">
        <v>20.025600000000001</v>
      </c>
      <c r="T18" s="167">
        <v>11.324</v>
      </c>
      <c r="U18" s="172">
        <v>6.7050000000000001</v>
      </c>
      <c r="V18" s="98">
        <f t="shared" ref="V18:V24" si="0">SUM(B18:U18)</f>
        <v>359.84861999999998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17.637120000000003</v>
      </c>
      <c r="C19" s="19">
        <f t="shared" ref="C19:C24" si="2">((((($C$26*$C$27)/1000)*7)-$C$18)/6)</f>
        <v>27.603696666666668</v>
      </c>
      <c r="D19" s="19">
        <f t="shared" ref="D19:D24" si="3">((((($D$26*$D$27)/1000)*7)-$D$18)/6)</f>
        <v>16.140426666666666</v>
      </c>
      <c r="E19" s="19">
        <f t="shared" ref="E19:E24" si="4">((((($E$26*$E$27)/1000)*7)-$E$18)/6)</f>
        <v>16.169879999999999</v>
      </c>
      <c r="F19" s="19">
        <f t="shared" ref="F19:F24" si="5">((((($F$26*$F$27)/1000)*7)-$F$18)/6)</f>
        <v>16.600250000000003</v>
      </c>
      <c r="G19" s="19">
        <f t="shared" ref="G19:G24" si="6">((((($G$26*$G$27)/1000)*7)-$G$18)/6)</f>
        <v>16.571380000000001</v>
      </c>
      <c r="H19" s="19">
        <f t="shared" ref="H19:H24" si="7">((((($H$26*$H$27)/1000)*7)-$H$18)/6)</f>
        <v>24.135319999999997</v>
      </c>
      <c r="I19" s="19">
        <f t="shared" ref="I19:I24" si="8">((((($I$26*$I$27)/1000)*7)-$I$18)/6)</f>
        <v>27.917289999999998</v>
      </c>
      <c r="J19" s="19">
        <f t="shared" ref="J19:J24" si="9">((((($J$26*$J$27)/1000)*7)-$J$18)/6)</f>
        <v>17.198293333333332</v>
      </c>
      <c r="K19" s="104">
        <f t="shared" ref="K19:K24" si="10">((((($K$26*$K$27)/1000)*7)-$K$18)/6)</f>
        <v>17.092956666666666</v>
      </c>
      <c r="L19" s="18">
        <f t="shared" ref="L19:L24" si="11">((((($L$26*$L$27)/1000)*7)-$L$18)/6)</f>
        <v>9.8435333333333332</v>
      </c>
      <c r="M19" s="19">
        <f t="shared" ref="M19:M24" si="12">((((($M$26*$M$27)/1000)*7)-$M$18)/6)</f>
        <v>16.136466666666664</v>
      </c>
      <c r="N19" s="19">
        <f t="shared" ref="N19:N24" si="13">((((($N$26*$N$27)/1000)*7)-$N$18)/6)</f>
        <v>14.481066666666669</v>
      </c>
      <c r="O19" s="19">
        <f t="shared" ref="O19:O24" si="14">((((($O$26*$O$27)/1000)*7)-$O$18)/6)</f>
        <v>14.481066666666669</v>
      </c>
      <c r="P19" s="19">
        <f t="shared" ref="P19:P24" si="15">((((($P$26*$P$27)/1000)*7)-$P$18)/6)</f>
        <v>16.315300000000001</v>
      </c>
      <c r="Q19" s="19">
        <f t="shared" ref="Q19:Q24" si="16">((((($Q$26*$Q$27)/1000)*7)-$Q$18)/6)</f>
        <v>16.343</v>
      </c>
      <c r="R19" s="19">
        <f t="shared" ref="R19:R24" si="17">((((($R$26*$R$27)/1000)*7)-$R$18)/6)</f>
        <v>25.788700000000002</v>
      </c>
      <c r="S19" s="19">
        <f t="shared" ref="S19:S24" si="18">((((($S$26*$S$27)/1000)*7)-$S$18)/6)</f>
        <v>18.6144</v>
      </c>
      <c r="T19" s="19">
        <f t="shared" ref="T19:T24" si="19">((((($T$26*$T$27))/1000)*7)-$T$18)/6</f>
        <v>10.304333333333332</v>
      </c>
      <c r="U19" s="20">
        <f t="shared" ref="U19:U24" si="20">((((($U$26*$U$27)/1000)*7)-$U$18)/6)</f>
        <v>6.1012500000000003</v>
      </c>
      <c r="V19" s="98">
        <f t="shared" si="0"/>
        <v>345.47573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17.637120000000003</v>
      </c>
      <c r="C20" s="19">
        <f t="shared" si="2"/>
        <v>27.603696666666668</v>
      </c>
      <c r="D20" s="19">
        <f t="shared" si="3"/>
        <v>16.140426666666666</v>
      </c>
      <c r="E20" s="19">
        <f t="shared" si="4"/>
        <v>16.169879999999999</v>
      </c>
      <c r="F20" s="19">
        <f t="shared" si="5"/>
        <v>16.600250000000003</v>
      </c>
      <c r="G20" s="19">
        <f t="shared" si="6"/>
        <v>16.571380000000001</v>
      </c>
      <c r="H20" s="19">
        <f t="shared" si="7"/>
        <v>24.135319999999997</v>
      </c>
      <c r="I20" s="19">
        <f t="shared" si="8"/>
        <v>27.917289999999998</v>
      </c>
      <c r="J20" s="19">
        <f t="shared" si="9"/>
        <v>17.198293333333332</v>
      </c>
      <c r="K20" s="104">
        <f t="shared" si="10"/>
        <v>17.092956666666666</v>
      </c>
      <c r="L20" s="18">
        <f t="shared" si="11"/>
        <v>9.8435333333333332</v>
      </c>
      <c r="M20" s="19">
        <f t="shared" si="12"/>
        <v>16.136466666666664</v>
      </c>
      <c r="N20" s="19">
        <f t="shared" si="13"/>
        <v>14.481066666666669</v>
      </c>
      <c r="O20" s="19">
        <f t="shared" si="14"/>
        <v>14.481066666666669</v>
      </c>
      <c r="P20" s="19">
        <f t="shared" si="15"/>
        <v>16.315300000000001</v>
      </c>
      <c r="Q20" s="19">
        <f t="shared" si="16"/>
        <v>16.343</v>
      </c>
      <c r="R20" s="19">
        <f t="shared" si="17"/>
        <v>25.788700000000002</v>
      </c>
      <c r="S20" s="19">
        <f t="shared" si="18"/>
        <v>18.6144</v>
      </c>
      <c r="T20" s="19">
        <f t="shared" si="19"/>
        <v>10.304333333333332</v>
      </c>
      <c r="U20" s="20">
        <f t="shared" si="20"/>
        <v>6.1012500000000003</v>
      </c>
      <c r="V20" s="98">
        <f t="shared" si="0"/>
        <v>345.47573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17.637120000000003</v>
      </c>
      <c r="C21" s="19">
        <f t="shared" si="2"/>
        <v>27.603696666666668</v>
      </c>
      <c r="D21" s="19">
        <f t="shared" si="3"/>
        <v>16.140426666666666</v>
      </c>
      <c r="E21" s="19">
        <f t="shared" si="4"/>
        <v>16.169879999999999</v>
      </c>
      <c r="F21" s="19">
        <f t="shared" si="5"/>
        <v>16.600250000000003</v>
      </c>
      <c r="G21" s="19">
        <f t="shared" si="6"/>
        <v>16.571380000000001</v>
      </c>
      <c r="H21" s="19">
        <f t="shared" si="7"/>
        <v>24.135319999999997</v>
      </c>
      <c r="I21" s="19">
        <f t="shared" si="8"/>
        <v>27.917289999999998</v>
      </c>
      <c r="J21" s="19">
        <f t="shared" si="9"/>
        <v>17.198293333333332</v>
      </c>
      <c r="K21" s="104">
        <f t="shared" si="10"/>
        <v>17.092956666666666</v>
      </c>
      <c r="L21" s="18">
        <f t="shared" si="11"/>
        <v>9.8435333333333332</v>
      </c>
      <c r="M21" s="19">
        <f t="shared" si="12"/>
        <v>16.136466666666664</v>
      </c>
      <c r="N21" s="19">
        <f t="shared" si="13"/>
        <v>14.481066666666669</v>
      </c>
      <c r="O21" s="19">
        <f t="shared" si="14"/>
        <v>14.481066666666669</v>
      </c>
      <c r="P21" s="19">
        <f t="shared" si="15"/>
        <v>16.315300000000001</v>
      </c>
      <c r="Q21" s="19">
        <f t="shared" si="16"/>
        <v>16.343</v>
      </c>
      <c r="R21" s="19">
        <f t="shared" si="17"/>
        <v>25.788700000000002</v>
      </c>
      <c r="S21" s="19">
        <f t="shared" si="18"/>
        <v>18.6144</v>
      </c>
      <c r="T21" s="19">
        <f t="shared" si="19"/>
        <v>10.304333333333332</v>
      </c>
      <c r="U21" s="20">
        <f t="shared" si="20"/>
        <v>6.1012500000000003</v>
      </c>
      <c r="V21" s="98">
        <f t="shared" si="0"/>
        <v>345.47573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17.637120000000003</v>
      </c>
      <c r="C22" s="19">
        <f t="shared" si="2"/>
        <v>27.603696666666668</v>
      </c>
      <c r="D22" s="19">
        <f t="shared" si="3"/>
        <v>16.140426666666666</v>
      </c>
      <c r="E22" s="19">
        <f t="shared" si="4"/>
        <v>16.169879999999999</v>
      </c>
      <c r="F22" s="19">
        <f t="shared" si="5"/>
        <v>16.600250000000003</v>
      </c>
      <c r="G22" s="19">
        <f t="shared" si="6"/>
        <v>16.571380000000001</v>
      </c>
      <c r="H22" s="19">
        <f t="shared" si="7"/>
        <v>24.135319999999997</v>
      </c>
      <c r="I22" s="19">
        <f t="shared" si="8"/>
        <v>27.917289999999998</v>
      </c>
      <c r="J22" s="19">
        <f t="shared" si="9"/>
        <v>17.198293333333332</v>
      </c>
      <c r="K22" s="104">
        <f t="shared" si="10"/>
        <v>17.092956666666666</v>
      </c>
      <c r="L22" s="18">
        <f t="shared" si="11"/>
        <v>9.8435333333333332</v>
      </c>
      <c r="M22" s="19">
        <f t="shared" si="12"/>
        <v>16.136466666666664</v>
      </c>
      <c r="N22" s="19">
        <f t="shared" si="13"/>
        <v>14.481066666666669</v>
      </c>
      <c r="O22" s="19">
        <f t="shared" si="14"/>
        <v>14.481066666666669</v>
      </c>
      <c r="P22" s="19">
        <f t="shared" si="15"/>
        <v>16.315300000000001</v>
      </c>
      <c r="Q22" s="19">
        <f t="shared" si="16"/>
        <v>16.343</v>
      </c>
      <c r="R22" s="19">
        <f t="shared" si="17"/>
        <v>25.788700000000002</v>
      </c>
      <c r="S22" s="19">
        <f t="shared" si="18"/>
        <v>18.6144</v>
      </c>
      <c r="T22" s="19">
        <f t="shared" si="19"/>
        <v>10.304333333333332</v>
      </c>
      <c r="U22" s="20">
        <f t="shared" si="20"/>
        <v>6.1012500000000003</v>
      </c>
      <c r="V22" s="98">
        <f t="shared" si="0"/>
        <v>345.47573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17.637120000000003</v>
      </c>
      <c r="C23" s="19">
        <f t="shared" si="2"/>
        <v>27.603696666666668</v>
      </c>
      <c r="D23" s="19">
        <f t="shared" si="3"/>
        <v>16.140426666666666</v>
      </c>
      <c r="E23" s="19">
        <f t="shared" si="4"/>
        <v>16.169879999999999</v>
      </c>
      <c r="F23" s="19">
        <f t="shared" si="5"/>
        <v>16.600250000000003</v>
      </c>
      <c r="G23" s="19">
        <f t="shared" si="6"/>
        <v>16.571380000000001</v>
      </c>
      <c r="H23" s="19">
        <f t="shared" si="7"/>
        <v>24.135319999999997</v>
      </c>
      <c r="I23" s="19">
        <f t="shared" si="8"/>
        <v>27.917289999999998</v>
      </c>
      <c r="J23" s="19">
        <f t="shared" si="9"/>
        <v>17.198293333333332</v>
      </c>
      <c r="K23" s="104">
        <f t="shared" si="10"/>
        <v>17.092956666666666</v>
      </c>
      <c r="L23" s="18">
        <f t="shared" si="11"/>
        <v>9.8435333333333332</v>
      </c>
      <c r="M23" s="19">
        <f t="shared" si="12"/>
        <v>16.136466666666664</v>
      </c>
      <c r="N23" s="19">
        <f t="shared" si="13"/>
        <v>14.481066666666669</v>
      </c>
      <c r="O23" s="19">
        <f t="shared" si="14"/>
        <v>14.481066666666669</v>
      </c>
      <c r="P23" s="19">
        <f t="shared" si="15"/>
        <v>16.315300000000001</v>
      </c>
      <c r="Q23" s="19">
        <f t="shared" si="16"/>
        <v>16.343</v>
      </c>
      <c r="R23" s="19">
        <f t="shared" si="17"/>
        <v>25.788700000000002</v>
      </c>
      <c r="S23" s="19">
        <f t="shared" si="18"/>
        <v>18.6144</v>
      </c>
      <c r="T23" s="19">
        <f t="shared" si="19"/>
        <v>10.304333333333332</v>
      </c>
      <c r="U23" s="20">
        <f t="shared" si="20"/>
        <v>6.1012500000000003</v>
      </c>
      <c r="V23" s="98">
        <f t="shared" si="0"/>
        <v>345.47573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17.637120000000003</v>
      </c>
      <c r="C24" s="19">
        <f t="shared" si="2"/>
        <v>27.603696666666668</v>
      </c>
      <c r="D24" s="19">
        <f t="shared" si="3"/>
        <v>16.140426666666666</v>
      </c>
      <c r="E24" s="19">
        <f t="shared" si="4"/>
        <v>16.169879999999999</v>
      </c>
      <c r="F24" s="19">
        <f t="shared" si="5"/>
        <v>16.600250000000003</v>
      </c>
      <c r="G24" s="19">
        <f t="shared" si="6"/>
        <v>16.571380000000001</v>
      </c>
      <c r="H24" s="19">
        <f t="shared" si="7"/>
        <v>24.135319999999997</v>
      </c>
      <c r="I24" s="19">
        <f t="shared" si="8"/>
        <v>27.917289999999998</v>
      </c>
      <c r="J24" s="19">
        <f t="shared" si="9"/>
        <v>17.198293333333332</v>
      </c>
      <c r="K24" s="104">
        <f t="shared" si="10"/>
        <v>17.092956666666666</v>
      </c>
      <c r="L24" s="18">
        <f t="shared" si="11"/>
        <v>9.8435333333333332</v>
      </c>
      <c r="M24" s="19">
        <f t="shared" si="12"/>
        <v>16.136466666666664</v>
      </c>
      <c r="N24" s="19">
        <f t="shared" si="13"/>
        <v>14.481066666666669</v>
      </c>
      <c r="O24" s="19">
        <f t="shared" si="14"/>
        <v>14.481066666666669</v>
      </c>
      <c r="P24" s="19">
        <f t="shared" si="15"/>
        <v>16.315300000000001</v>
      </c>
      <c r="Q24" s="19">
        <f t="shared" si="16"/>
        <v>16.343</v>
      </c>
      <c r="R24" s="19">
        <f t="shared" si="17"/>
        <v>25.788700000000002</v>
      </c>
      <c r="S24" s="19">
        <f t="shared" si="18"/>
        <v>18.6144</v>
      </c>
      <c r="T24" s="19">
        <f t="shared" si="19"/>
        <v>10.304333333333332</v>
      </c>
      <c r="U24" s="20">
        <f t="shared" si="20"/>
        <v>6.1012500000000003</v>
      </c>
      <c r="V24" s="98">
        <f t="shared" si="0"/>
        <v>345.47573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122.97600000000003</v>
      </c>
      <c r="C25" s="22">
        <f>SUM(C18:C24)</f>
        <v>192.99000000000004</v>
      </c>
      <c r="D25" s="22">
        <f>SUM(D18:D24)</f>
        <v>113.16200000000002</v>
      </c>
      <c r="E25" s="22">
        <f>SUM(E18:E24)</f>
        <v>113.36850000000001</v>
      </c>
      <c r="F25" s="22">
        <f>SUM(F18:F24)</f>
        <v>116.72500000000001</v>
      </c>
      <c r="G25" s="22">
        <f t="shared" ref="G25:U25" si="21">SUM(G18:G24)</f>
        <v>116.52200000000002</v>
      </c>
      <c r="H25" s="22">
        <f t="shared" si="21"/>
        <v>169.708</v>
      </c>
      <c r="I25" s="22">
        <f t="shared" si="21"/>
        <v>196.30100000000002</v>
      </c>
      <c r="J25" s="22">
        <f t="shared" si="21"/>
        <v>121.29600000000002</v>
      </c>
      <c r="K25" s="154">
        <f t="shared" si="21"/>
        <v>120.932</v>
      </c>
      <c r="L25" s="21">
        <f t="shared" si="21"/>
        <v>69.222999999999999</v>
      </c>
      <c r="M25" s="22">
        <f t="shared" si="21"/>
        <v>113.47699999999999</v>
      </c>
      <c r="N25" s="22">
        <f t="shared" si="21"/>
        <v>102.14400000000001</v>
      </c>
      <c r="O25" s="22">
        <f t="shared" si="21"/>
        <v>102.14400000000001</v>
      </c>
      <c r="P25" s="19">
        <f t="shared" si="21"/>
        <v>115.44400000000002</v>
      </c>
      <c r="Q25" s="19">
        <f t="shared" si="21"/>
        <v>115.64000000000001</v>
      </c>
      <c r="R25" s="19">
        <f t="shared" si="21"/>
        <v>182.47600000000003</v>
      </c>
      <c r="S25" s="19">
        <f t="shared" si="21"/>
        <v>131.71200000000002</v>
      </c>
      <c r="T25" s="19">
        <f t="shared" si="21"/>
        <v>73.149999999999991</v>
      </c>
      <c r="U25" s="19">
        <f t="shared" si="21"/>
        <v>43.3125</v>
      </c>
      <c r="V25" s="98">
        <f>SUM(V18:V24)</f>
        <v>2432.7030000000004</v>
      </c>
    </row>
    <row r="26" spans="1:32" s="2" customFormat="1" ht="36.75" customHeight="1" x14ac:dyDescent="0.25">
      <c r="A26" s="148" t="s">
        <v>11</v>
      </c>
      <c r="B26" s="23">
        <v>30.5</v>
      </c>
      <c r="C26" s="24">
        <v>30</v>
      </c>
      <c r="D26" s="24">
        <v>29.5</v>
      </c>
      <c r="E26" s="24">
        <v>29.5</v>
      </c>
      <c r="F26" s="24">
        <v>29</v>
      </c>
      <c r="G26" s="24">
        <v>29</v>
      </c>
      <c r="H26" s="24">
        <v>29</v>
      </c>
      <c r="I26" s="24">
        <v>29</v>
      </c>
      <c r="J26" s="24">
        <v>28.5</v>
      </c>
      <c r="K26" s="155">
        <v>28</v>
      </c>
      <c r="L26" s="23">
        <v>29</v>
      </c>
      <c r="M26" s="24">
        <v>29</v>
      </c>
      <c r="N26" s="24">
        <v>28.5</v>
      </c>
      <c r="O26" s="24">
        <v>28.5</v>
      </c>
      <c r="P26" s="24">
        <v>28</v>
      </c>
      <c r="Q26" s="24">
        <v>28</v>
      </c>
      <c r="R26" s="24">
        <v>28</v>
      </c>
      <c r="S26" s="24">
        <v>28</v>
      </c>
      <c r="T26" s="24">
        <v>27.5</v>
      </c>
      <c r="U26" s="25">
        <v>27.5</v>
      </c>
      <c r="V26" s="99">
        <f>((V25/V27)/7)*1000</f>
        <v>28.768956953642387</v>
      </c>
    </row>
    <row r="27" spans="1:32" s="2" customFormat="1" ht="33" customHeight="1" x14ac:dyDescent="0.25">
      <c r="A27" s="149" t="s">
        <v>12</v>
      </c>
      <c r="B27" s="26">
        <v>576</v>
      </c>
      <c r="C27" s="27">
        <v>919</v>
      </c>
      <c r="D27" s="27">
        <v>548</v>
      </c>
      <c r="E27" s="27">
        <v>549</v>
      </c>
      <c r="F27" s="27">
        <v>575</v>
      </c>
      <c r="G27" s="27">
        <v>574</v>
      </c>
      <c r="H27" s="27">
        <v>836</v>
      </c>
      <c r="I27" s="27">
        <v>967</v>
      </c>
      <c r="J27" s="27">
        <v>608</v>
      </c>
      <c r="K27" s="156">
        <v>617</v>
      </c>
      <c r="L27" s="26">
        <v>341</v>
      </c>
      <c r="M27" s="27">
        <v>559</v>
      </c>
      <c r="N27" s="27">
        <v>512</v>
      </c>
      <c r="O27" s="27">
        <v>512</v>
      </c>
      <c r="P27" s="27">
        <v>589</v>
      </c>
      <c r="Q27" s="27">
        <v>590</v>
      </c>
      <c r="R27" s="27">
        <v>931</v>
      </c>
      <c r="S27" s="27">
        <v>672</v>
      </c>
      <c r="T27" s="27">
        <v>380</v>
      </c>
      <c r="U27" s="28">
        <v>225</v>
      </c>
      <c r="V27" s="29">
        <f>SUM(B27,C27,D27,E27,F27,G27,H27,I27,J27,K27,L27,M27,N27,O27,P27,Q27,R27,S27,T27,U27)</f>
        <v>12080</v>
      </c>
      <c r="W27" s="2">
        <f>((V25*1000)/V27)/7</f>
        <v>28.768956953642391</v>
      </c>
    </row>
    <row r="28" spans="1:32" s="2" customFormat="1" ht="33" customHeight="1" x14ac:dyDescent="0.25">
      <c r="A28" s="150" t="s">
        <v>13</v>
      </c>
      <c r="B28" s="30">
        <f>(B27*B26)/1000</f>
        <v>17.568000000000001</v>
      </c>
      <c r="C28" s="31">
        <f>(C27*C26)/1000</f>
        <v>27.57</v>
      </c>
      <c r="D28" s="31">
        <f>(D27*D26)/1000</f>
        <v>16.166</v>
      </c>
      <c r="E28" s="31">
        <f>(E27*E26)/1000</f>
        <v>16.195499999999999</v>
      </c>
      <c r="F28" s="31">
        <f>(F27*F26)/1000</f>
        <v>16.675000000000001</v>
      </c>
      <c r="G28" s="31">
        <f t="shared" ref="G28:U28" si="22">(G27*G26)/1000</f>
        <v>16.646000000000001</v>
      </c>
      <c r="H28" s="31">
        <f t="shared" si="22"/>
        <v>24.244</v>
      </c>
      <c r="I28" s="31">
        <f t="shared" si="22"/>
        <v>28.042999999999999</v>
      </c>
      <c r="J28" s="31">
        <f t="shared" si="22"/>
        <v>17.327999999999999</v>
      </c>
      <c r="K28" s="142">
        <f t="shared" si="22"/>
        <v>17.276</v>
      </c>
      <c r="L28" s="30">
        <f t="shared" si="22"/>
        <v>9.8889999999999993</v>
      </c>
      <c r="M28" s="31">
        <f t="shared" si="22"/>
        <v>16.210999999999999</v>
      </c>
      <c r="N28" s="31">
        <f t="shared" si="22"/>
        <v>14.592000000000001</v>
      </c>
      <c r="O28" s="31">
        <f t="shared" si="22"/>
        <v>14.592000000000001</v>
      </c>
      <c r="P28" s="31">
        <f t="shared" si="22"/>
        <v>16.492000000000001</v>
      </c>
      <c r="Q28" s="31">
        <f t="shared" si="22"/>
        <v>16.52</v>
      </c>
      <c r="R28" s="31">
        <f t="shared" si="22"/>
        <v>26.068000000000001</v>
      </c>
      <c r="S28" s="31">
        <f t="shared" si="22"/>
        <v>18.815999999999999</v>
      </c>
      <c r="T28" s="31">
        <f t="shared" si="22"/>
        <v>10.45</v>
      </c>
      <c r="U28" s="31">
        <f t="shared" si="22"/>
        <v>6.1875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122.976</v>
      </c>
      <c r="C29" s="35">
        <f t="shared" si="23"/>
        <v>192.99</v>
      </c>
      <c r="D29" s="35">
        <f t="shared" si="23"/>
        <v>113.16200000000001</v>
      </c>
      <c r="E29" s="35">
        <f t="shared" si="23"/>
        <v>113.3685</v>
      </c>
      <c r="F29" s="35">
        <f t="shared" si="23"/>
        <v>116.72499999999999</v>
      </c>
      <c r="G29" s="35">
        <f t="shared" si="23"/>
        <v>116.52200000000001</v>
      </c>
      <c r="H29" s="35">
        <f t="shared" si="23"/>
        <v>169.708</v>
      </c>
      <c r="I29" s="35">
        <f t="shared" si="23"/>
        <v>196.30099999999999</v>
      </c>
      <c r="J29" s="35">
        <f t="shared" si="23"/>
        <v>121.29600000000001</v>
      </c>
      <c r="K29" s="157">
        <f t="shared" ref="K29:U29" si="24">((K27*K26)*7)/1000</f>
        <v>120.932</v>
      </c>
      <c r="L29" s="34">
        <f t="shared" si="24"/>
        <v>69.222999999999999</v>
      </c>
      <c r="M29" s="35">
        <f t="shared" si="24"/>
        <v>113.477</v>
      </c>
      <c r="N29" s="35">
        <f t="shared" si="24"/>
        <v>102.14400000000001</v>
      </c>
      <c r="O29" s="35">
        <f t="shared" si="24"/>
        <v>102.14400000000001</v>
      </c>
      <c r="P29" s="35">
        <f t="shared" si="24"/>
        <v>115.444</v>
      </c>
      <c r="Q29" s="35">
        <f t="shared" si="24"/>
        <v>115.64</v>
      </c>
      <c r="R29" s="35">
        <f t="shared" si="24"/>
        <v>182.476</v>
      </c>
      <c r="S29" s="35">
        <f t="shared" si="24"/>
        <v>131.71199999999999</v>
      </c>
      <c r="T29" s="35">
        <f t="shared" si="24"/>
        <v>73.150000000000006</v>
      </c>
      <c r="U29" s="35">
        <f t="shared" si="24"/>
        <v>43.3125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30.500000000000007</v>
      </c>
      <c r="C30" s="38">
        <f t="shared" si="25"/>
        <v>30.000000000000007</v>
      </c>
      <c r="D30" s="38">
        <f t="shared" si="25"/>
        <v>29.500000000000007</v>
      </c>
      <c r="E30" s="38">
        <f t="shared" si="25"/>
        <v>29.500000000000004</v>
      </c>
      <c r="F30" s="38">
        <f t="shared" si="25"/>
        <v>29</v>
      </c>
      <c r="G30" s="38">
        <f t="shared" si="25"/>
        <v>29.000000000000004</v>
      </c>
      <c r="H30" s="38">
        <f t="shared" si="25"/>
        <v>28.999999999999996</v>
      </c>
      <c r="I30" s="38">
        <f t="shared" si="25"/>
        <v>29</v>
      </c>
      <c r="J30" s="38">
        <f t="shared" si="25"/>
        <v>28.500000000000004</v>
      </c>
      <c r="K30" s="158">
        <f t="shared" ref="K30:U30" si="26">+(K25/K27)/7*1000</f>
        <v>28</v>
      </c>
      <c r="L30" s="37">
        <f t="shared" si="26"/>
        <v>28.999999999999996</v>
      </c>
      <c r="M30" s="38">
        <f t="shared" si="26"/>
        <v>28.999999999999996</v>
      </c>
      <c r="N30" s="38">
        <f t="shared" si="26"/>
        <v>28.5</v>
      </c>
      <c r="O30" s="38">
        <f t="shared" si="26"/>
        <v>28.5</v>
      </c>
      <c r="P30" s="38">
        <f t="shared" si="26"/>
        <v>28.000000000000004</v>
      </c>
      <c r="Q30" s="38">
        <f t="shared" si="26"/>
        <v>28.000000000000004</v>
      </c>
      <c r="R30" s="38">
        <f t="shared" si="26"/>
        <v>28.000000000000004</v>
      </c>
      <c r="S30" s="38">
        <f t="shared" si="26"/>
        <v>28.000000000000004</v>
      </c>
      <c r="T30" s="38">
        <f>+(T25/T27)/7*1000</f>
        <v>27.499999999999996</v>
      </c>
      <c r="U30" s="38">
        <f t="shared" si="26"/>
        <v>27.5</v>
      </c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23" t="s">
        <v>17</v>
      </c>
      <c r="C36" s="1024"/>
      <c r="D36" s="1024"/>
      <c r="E36" s="1024"/>
      <c r="F36" s="1024"/>
      <c r="G36" s="1024"/>
      <c r="H36" s="75"/>
      <c r="L36" s="44"/>
      <c r="M36" s="88" t="s">
        <v>18</v>
      </c>
      <c r="N36" s="1016" t="s">
        <v>17</v>
      </c>
      <c r="O36" s="1016"/>
      <c r="P36" s="1016"/>
      <c r="Q36" s="1016"/>
      <c r="R36" s="1017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21" t="s">
        <v>27</v>
      </c>
      <c r="L37" s="1021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16.5</v>
      </c>
      <c r="C39" s="61">
        <v>19.8</v>
      </c>
      <c r="D39" s="61">
        <v>23.6</v>
      </c>
      <c r="E39" s="61">
        <v>17.3</v>
      </c>
      <c r="F39" s="61">
        <v>18.5</v>
      </c>
      <c r="G39" s="94">
        <v>12.1</v>
      </c>
      <c r="H39" s="127">
        <f t="shared" ref="H39:H46" si="27">SUM(B39:G39)</f>
        <v>107.8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34.356999999999999</v>
      </c>
      <c r="O39" s="101">
        <f>(($O$48*T39)/1000)</f>
        <v>27.824000000000002</v>
      </c>
      <c r="P39" s="101">
        <f>(($P$48*T39)/1000)</f>
        <v>34.027999999999999</v>
      </c>
      <c r="Q39" s="101">
        <f>(($Q$48*T39)/1000)</f>
        <v>27.917999999999999</v>
      </c>
      <c r="R39" s="101">
        <f>(($R$48*T39)/1000)</f>
        <v>28.152999999999999</v>
      </c>
      <c r="S39" s="77">
        <f t="shared" ref="S39:S46" si="28">SUM(N39:R39)</f>
        <v>152.28</v>
      </c>
      <c r="T39" s="2">
        <v>47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16.395</v>
      </c>
      <c r="C40" s="61">
        <f t="shared" ref="C40:C45" si="30">((((($C$47*$C$48)/1000)*7)-$C$39)/6)</f>
        <v>19.621500000000001</v>
      </c>
      <c r="D40" s="61">
        <f t="shared" ref="D40:D45" si="31">((((($D$47*$D$48)/1000)*7)-$D$39)/6)</f>
        <v>23.427916666666672</v>
      </c>
      <c r="E40" s="61">
        <f t="shared" ref="E40:E45" si="32">((((($E$47*$E$48)/1000)*7)-$E$39)/6)</f>
        <v>16.909166666666668</v>
      </c>
      <c r="F40" s="61">
        <f t="shared" ref="F40:F45" si="33">((((($F$47*$F$48)/1000)*7)-$F$39)/6)</f>
        <v>18.0625</v>
      </c>
      <c r="G40" s="94">
        <f t="shared" ref="G40:G45" si="34">((((($G$47*$G$48)/1000)*7)-$G$39)/6)</f>
        <v>11.615833333333335</v>
      </c>
      <c r="H40" s="127">
        <f t="shared" si="27"/>
        <v>106.03191666666666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38.743000000000002</v>
      </c>
      <c r="O40" s="101">
        <f t="shared" ref="O40:O45" si="36">(($O$48*T40)/1000)</f>
        <v>31.376000000000001</v>
      </c>
      <c r="P40" s="101">
        <f t="shared" ref="P40:P45" si="37">(($P$48*T40)/1000)</f>
        <v>38.372</v>
      </c>
      <c r="Q40" s="101">
        <f t="shared" ref="Q40:Q45" si="38">(($Q$48*T40)/1000)</f>
        <v>31.481999999999999</v>
      </c>
      <c r="R40" s="101">
        <f t="shared" ref="R40:R45" si="39">(($R$48*T40)/1000)</f>
        <v>31.747</v>
      </c>
      <c r="S40" s="77">
        <f t="shared" si="28"/>
        <v>171.72000000000003</v>
      </c>
      <c r="T40" s="2">
        <v>53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16.395</v>
      </c>
      <c r="C41" s="61">
        <f t="shared" si="30"/>
        <v>19.621500000000001</v>
      </c>
      <c r="D41" s="61">
        <f t="shared" si="31"/>
        <v>23.427916666666672</v>
      </c>
      <c r="E41" s="61">
        <f t="shared" si="32"/>
        <v>16.909166666666668</v>
      </c>
      <c r="F41" s="61">
        <f t="shared" si="33"/>
        <v>18.0625</v>
      </c>
      <c r="G41" s="94">
        <f t="shared" si="34"/>
        <v>11.615833333333335</v>
      </c>
      <c r="H41" s="127">
        <f t="shared" si="27"/>
        <v>106.03191666666666</v>
      </c>
      <c r="I41" s="49"/>
      <c r="J41" s="49"/>
      <c r="K41" s="89">
        <v>17.5</v>
      </c>
      <c r="L41" s="90"/>
      <c r="M41" s="96" t="s">
        <v>20</v>
      </c>
      <c r="N41" s="101">
        <f t="shared" si="35"/>
        <v>42.398000000000003</v>
      </c>
      <c r="O41" s="101">
        <f t="shared" si="36"/>
        <v>34.335999999999999</v>
      </c>
      <c r="P41" s="101">
        <f t="shared" si="37"/>
        <v>41.991999999999997</v>
      </c>
      <c r="Q41" s="101">
        <f t="shared" si="38"/>
        <v>34.451999999999998</v>
      </c>
      <c r="R41" s="101">
        <f t="shared" si="39"/>
        <v>34.741999999999997</v>
      </c>
      <c r="S41" s="77">
        <f t="shared" si="28"/>
        <v>187.92</v>
      </c>
      <c r="T41" s="2">
        <v>58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16.395</v>
      </c>
      <c r="C42" s="61">
        <f t="shared" si="30"/>
        <v>19.621500000000001</v>
      </c>
      <c r="D42" s="61">
        <f t="shared" si="31"/>
        <v>23.427916666666672</v>
      </c>
      <c r="E42" s="61">
        <f t="shared" si="32"/>
        <v>16.909166666666668</v>
      </c>
      <c r="F42" s="61">
        <f t="shared" si="33"/>
        <v>18.0625</v>
      </c>
      <c r="G42" s="94">
        <f t="shared" si="34"/>
        <v>11.615833333333335</v>
      </c>
      <c r="H42" s="127">
        <f t="shared" si="27"/>
        <v>106.03191666666666</v>
      </c>
      <c r="I42" s="49"/>
      <c r="J42" s="49"/>
      <c r="K42" s="89">
        <v>21.5</v>
      </c>
      <c r="L42" s="90"/>
      <c r="M42" s="96" t="s">
        <v>28</v>
      </c>
      <c r="N42" s="101">
        <f t="shared" si="35"/>
        <v>44.591000000000001</v>
      </c>
      <c r="O42" s="101">
        <f t="shared" si="36"/>
        <v>36.112000000000002</v>
      </c>
      <c r="P42" s="101">
        <f t="shared" si="37"/>
        <v>44.164000000000001</v>
      </c>
      <c r="Q42" s="101">
        <f t="shared" si="38"/>
        <v>36.234000000000002</v>
      </c>
      <c r="R42" s="101">
        <f t="shared" si="39"/>
        <v>36.539000000000001</v>
      </c>
      <c r="S42" s="77">
        <f t="shared" si="28"/>
        <v>197.64</v>
      </c>
      <c r="T42" s="2">
        <v>61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16.395</v>
      </c>
      <c r="C43" s="61">
        <f t="shared" si="30"/>
        <v>19.621500000000001</v>
      </c>
      <c r="D43" s="61">
        <f t="shared" si="31"/>
        <v>23.427916666666672</v>
      </c>
      <c r="E43" s="61">
        <f t="shared" si="32"/>
        <v>16.909166666666668</v>
      </c>
      <c r="F43" s="61">
        <f t="shared" si="33"/>
        <v>18.0625</v>
      </c>
      <c r="G43" s="94">
        <f t="shared" si="34"/>
        <v>11.615833333333335</v>
      </c>
      <c r="H43" s="127">
        <f t="shared" si="27"/>
        <v>106.03191666666666</v>
      </c>
      <c r="I43" s="49"/>
      <c r="J43" s="49"/>
      <c r="K43" s="89">
        <v>26</v>
      </c>
      <c r="L43" s="90"/>
      <c r="M43" s="96" t="s">
        <v>21</v>
      </c>
      <c r="N43" s="101">
        <f t="shared" si="35"/>
        <v>46.783999999999999</v>
      </c>
      <c r="O43" s="101">
        <f t="shared" si="36"/>
        <v>37.887999999999998</v>
      </c>
      <c r="P43" s="101">
        <f t="shared" si="37"/>
        <v>46.335999999999999</v>
      </c>
      <c r="Q43" s="101">
        <f t="shared" si="38"/>
        <v>38.015999999999998</v>
      </c>
      <c r="R43" s="101">
        <f t="shared" si="39"/>
        <v>38.335999999999999</v>
      </c>
      <c r="S43" s="77">
        <f t="shared" si="28"/>
        <v>207.35999999999996</v>
      </c>
      <c r="T43" s="2">
        <v>64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16.395</v>
      </c>
      <c r="C44" s="61">
        <f t="shared" si="30"/>
        <v>19.621500000000001</v>
      </c>
      <c r="D44" s="61">
        <f t="shared" si="31"/>
        <v>23.427916666666672</v>
      </c>
      <c r="E44" s="61">
        <f t="shared" si="32"/>
        <v>16.909166666666668</v>
      </c>
      <c r="F44" s="61">
        <f t="shared" si="33"/>
        <v>18.0625</v>
      </c>
      <c r="G44" s="94">
        <f t="shared" si="34"/>
        <v>11.615833333333335</v>
      </c>
      <c r="H44" s="127">
        <f t="shared" si="27"/>
        <v>106.03191666666666</v>
      </c>
      <c r="I44" s="49"/>
      <c r="J44" s="49"/>
      <c r="K44" s="89">
        <v>28</v>
      </c>
      <c r="L44" s="90"/>
      <c r="M44" s="96" t="s">
        <v>22</v>
      </c>
      <c r="N44" s="101">
        <f t="shared" si="35"/>
        <v>48.976999999999997</v>
      </c>
      <c r="O44" s="101">
        <f t="shared" si="36"/>
        <v>39.664000000000001</v>
      </c>
      <c r="P44" s="101">
        <f t="shared" si="37"/>
        <v>48.508000000000003</v>
      </c>
      <c r="Q44" s="101">
        <f t="shared" si="38"/>
        <v>39.798000000000002</v>
      </c>
      <c r="R44" s="101">
        <f t="shared" si="39"/>
        <v>40.133000000000003</v>
      </c>
      <c r="S44" s="77">
        <f t="shared" si="28"/>
        <v>217.08</v>
      </c>
      <c r="T44" s="2">
        <v>67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16.395</v>
      </c>
      <c r="C45" s="61">
        <f t="shared" si="30"/>
        <v>19.621500000000001</v>
      </c>
      <c r="D45" s="61">
        <f t="shared" si="31"/>
        <v>23.427916666666672</v>
      </c>
      <c r="E45" s="61">
        <f t="shared" si="32"/>
        <v>16.909166666666668</v>
      </c>
      <c r="F45" s="61">
        <f t="shared" si="33"/>
        <v>18.0625</v>
      </c>
      <c r="G45" s="94">
        <f t="shared" si="34"/>
        <v>11.615833333333335</v>
      </c>
      <c r="H45" s="127">
        <f t="shared" si="27"/>
        <v>106.03191666666666</v>
      </c>
      <c r="I45" s="49"/>
      <c r="J45" s="49"/>
      <c r="K45" s="89">
        <v>29.5</v>
      </c>
      <c r="L45" s="90"/>
      <c r="M45" s="96" t="s">
        <v>23</v>
      </c>
      <c r="N45" s="101">
        <f t="shared" si="35"/>
        <v>51.17</v>
      </c>
      <c r="O45" s="101">
        <f t="shared" si="36"/>
        <v>41.44</v>
      </c>
      <c r="P45" s="101">
        <f t="shared" si="37"/>
        <v>50.68</v>
      </c>
      <c r="Q45" s="101">
        <f t="shared" si="38"/>
        <v>41.58</v>
      </c>
      <c r="R45" s="101">
        <f t="shared" si="39"/>
        <v>41.93</v>
      </c>
      <c r="S45" s="77">
        <f t="shared" si="28"/>
        <v>226.8</v>
      </c>
      <c r="T45" s="2">
        <v>70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114.86999999999998</v>
      </c>
      <c r="C46" s="22">
        <f t="shared" si="40"/>
        <v>137.529</v>
      </c>
      <c r="D46" s="22">
        <f t="shared" si="40"/>
        <v>164.16750000000005</v>
      </c>
      <c r="E46" s="22">
        <f t="shared" si="40"/>
        <v>118.755</v>
      </c>
      <c r="F46" s="22">
        <f t="shared" si="40"/>
        <v>126.875</v>
      </c>
      <c r="G46" s="22">
        <f t="shared" si="40"/>
        <v>81.795000000000016</v>
      </c>
      <c r="H46" s="127">
        <f t="shared" si="27"/>
        <v>743.99150000000009</v>
      </c>
      <c r="I46" s="49"/>
      <c r="J46" s="49"/>
      <c r="K46" s="49"/>
      <c r="M46" s="80" t="s">
        <v>9</v>
      </c>
      <c r="N46" s="62">
        <f>SUM(N39:N45)</f>
        <v>307.02</v>
      </c>
      <c r="O46" s="22">
        <f>SUM(O39:O45)</f>
        <v>248.64</v>
      </c>
      <c r="P46" s="22">
        <f>SUM(P39:P45)</f>
        <v>304.08</v>
      </c>
      <c r="Q46" s="22">
        <f>SUM(Q39:Q45)</f>
        <v>249.48000000000002</v>
      </c>
      <c r="R46" s="22">
        <f>SUM(R39:R45)</f>
        <v>251.58</v>
      </c>
      <c r="S46" s="77">
        <f t="shared" si="28"/>
        <v>1360.8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30</v>
      </c>
      <c r="C47" s="24">
        <v>29.5</v>
      </c>
      <c r="D47" s="24">
        <v>29.5</v>
      </c>
      <c r="E47" s="24">
        <v>29</v>
      </c>
      <c r="F47" s="24">
        <v>29</v>
      </c>
      <c r="G47" s="25">
        <v>28.5</v>
      </c>
      <c r="H47" s="128">
        <f>+((H46/H48)/7)*1000</f>
        <v>29.295617420066154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73.608481635744042</v>
      </c>
      <c r="T47" s="50"/>
      <c r="U47" s="50"/>
    </row>
    <row r="48" spans="1:32" ht="33.75" customHeight="1" x14ac:dyDescent="0.25">
      <c r="A48" s="71" t="s">
        <v>12</v>
      </c>
      <c r="B48" s="26">
        <v>547</v>
      </c>
      <c r="C48" s="27">
        <v>666</v>
      </c>
      <c r="D48" s="27">
        <v>795</v>
      </c>
      <c r="E48" s="27">
        <v>585</v>
      </c>
      <c r="F48" s="27">
        <v>625</v>
      </c>
      <c r="G48" s="28">
        <v>410</v>
      </c>
      <c r="H48" s="129">
        <f>SUM(B48:G48)</f>
        <v>3628</v>
      </c>
      <c r="I48" s="106"/>
      <c r="J48" s="106"/>
      <c r="K48" s="49"/>
      <c r="L48" s="51"/>
      <c r="M48" s="71" t="s">
        <v>12</v>
      </c>
      <c r="N48" s="79">
        <v>731</v>
      </c>
      <c r="O48" s="79">
        <v>592</v>
      </c>
      <c r="P48" s="79">
        <v>724</v>
      </c>
      <c r="Q48" s="79">
        <v>594</v>
      </c>
      <c r="R48" s="79">
        <v>599</v>
      </c>
      <c r="S48" s="82">
        <f>SUM(N48:Q48)</f>
        <v>2641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16.41</v>
      </c>
      <c r="C49" s="31">
        <f t="shared" si="41"/>
        <v>19.646999999999998</v>
      </c>
      <c r="D49" s="31">
        <f t="shared" si="41"/>
        <v>23.452500000000001</v>
      </c>
      <c r="E49" s="31">
        <f t="shared" si="41"/>
        <v>16.965</v>
      </c>
      <c r="F49" s="31">
        <f t="shared" si="41"/>
        <v>18.125</v>
      </c>
      <c r="G49" s="31">
        <f t="shared" si="41"/>
        <v>11.685</v>
      </c>
      <c r="H49" s="130">
        <f>((H46*1000)/H48)/7</f>
        <v>29.295617420066154</v>
      </c>
      <c r="I49" s="107"/>
      <c r="J49" s="107"/>
      <c r="K49" s="49"/>
      <c r="M49" s="72" t="s">
        <v>13</v>
      </c>
      <c r="N49" s="65">
        <f>(N48*N47)/1000</f>
        <v>21.93</v>
      </c>
      <c r="O49" s="31">
        <f>(O48*O47)/1000</f>
        <v>17.760000000000002</v>
      </c>
      <c r="P49" s="31">
        <f>(P48*P47)/1000</f>
        <v>21.72</v>
      </c>
      <c r="Q49" s="31">
        <f>(Q48*Q47)/1000</f>
        <v>17.82</v>
      </c>
      <c r="R49" s="31">
        <f>(R48*R47)/1000</f>
        <v>17.97</v>
      </c>
      <c r="S49" s="83">
        <f>((S46*1000)/S48)/7</f>
        <v>73.608481635744042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114.87</v>
      </c>
      <c r="C50" s="35">
        <f t="shared" si="42"/>
        <v>137.529</v>
      </c>
      <c r="D50" s="35">
        <f t="shared" si="42"/>
        <v>164.16749999999999</v>
      </c>
      <c r="E50" s="35">
        <f t="shared" si="42"/>
        <v>118.755</v>
      </c>
      <c r="F50" s="35">
        <f t="shared" si="42"/>
        <v>126.875</v>
      </c>
      <c r="G50" s="35">
        <f t="shared" si="42"/>
        <v>81.795000000000002</v>
      </c>
      <c r="H50" s="108"/>
      <c r="I50" s="41"/>
      <c r="J50" s="41"/>
      <c r="K50" s="49"/>
      <c r="M50" s="73" t="s">
        <v>14</v>
      </c>
      <c r="N50" s="66">
        <f>((N48*N47)*7)/1000</f>
        <v>153.51</v>
      </c>
      <c r="O50" s="35">
        <f>((O48*O47)*7)/1000</f>
        <v>124.32</v>
      </c>
      <c r="P50" s="35">
        <f>((P48*P47)*7)/1000</f>
        <v>152.04</v>
      </c>
      <c r="Q50" s="35">
        <f>((Q48*Q47)*7)/1000</f>
        <v>124.74</v>
      </c>
      <c r="R50" s="35">
        <f>((R48*R47)*7)/1000</f>
        <v>125.79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29.999999999999996</v>
      </c>
      <c r="C51" s="38">
        <f t="shared" si="43"/>
        <v>29.5</v>
      </c>
      <c r="D51" s="38">
        <f t="shared" si="43"/>
        <v>29.500000000000007</v>
      </c>
      <c r="E51" s="38">
        <f t="shared" si="43"/>
        <v>28.999999999999996</v>
      </c>
      <c r="F51" s="38">
        <f t="shared" si="43"/>
        <v>29</v>
      </c>
      <c r="G51" s="38">
        <f t="shared" si="43"/>
        <v>28.500000000000004</v>
      </c>
      <c r="H51" s="131"/>
      <c r="I51" s="41"/>
      <c r="J51" s="41"/>
      <c r="K51" s="49"/>
      <c r="L51" s="41"/>
      <c r="M51" s="74" t="s">
        <v>15</v>
      </c>
      <c r="N51" s="67">
        <f>+(N46/N48)/7*1000</f>
        <v>60</v>
      </c>
      <c r="O51" s="38">
        <f>+(O46/O48)/7*1000</f>
        <v>60</v>
      </c>
      <c r="P51" s="38">
        <f>+(P46/P48)/7*1000</f>
        <v>60</v>
      </c>
      <c r="Q51" s="38">
        <f>+(Q46/Q48)/7*1000</f>
        <v>60.000000000000007</v>
      </c>
      <c r="R51" s="38">
        <f>+(R46/R48)/7*1000</f>
        <v>60.000000000000007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18"/>
      <c r="M54" s="1018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16" t="s">
        <v>30</v>
      </c>
      <c r="C55" s="1016"/>
      <c r="D55" s="1016"/>
      <c r="E55" s="1016"/>
      <c r="F55" s="1017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28.294</v>
      </c>
      <c r="C58" s="61">
        <f>(($C$67*K58)/1000)</f>
        <v>27.542000000000002</v>
      </c>
      <c r="D58" s="61">
        <f t="shared" ref="D58:D64" si="44">(($D$67*K58)/1000)</f>
        <v>30.972999999999999</v>
      </c>
      <c r="E58" s="61">
        <f>(($E$67*K58)/1000)</f>
        <v>30.55</v>
      </c>
      <c r="F58" s="61">
        <f t="shared" ref="F58:F64" si="45">(($F$67*K58)/1000)</f>
        <v>30.597000000000001</v>
      </c>
      <c r="G58" s="77">
        <f t="shared" ref="G58:G65" si="46">SUM(B58:F58)</f>
        <v>147.95599999999999</v>
      </c>
      <c r="H58" s="42"/>
      <c r="I58" s="42"/>
      <c r="J58" s="42"/>
      <c r="K58" s="2">
        <v>47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31.905999999999999</v>
      </c>
      <c r="C59" s="61">
        <f t="shared" ref="C59:C64" si="48">(($C$67*K59)/1000)</f>
        <v>31.058</v>
      </c>
      <c r="D59" s="61">
        <f t="shared" si="44"/>
        <v>34.927</v>
      </c>
      <c r="E59" s="61">
        <f t="shared" ref="E59:E64" si="49">(($E$67*K59)/1000)</f>
        <v>34.450000000000003</v>
      </c>
      <c r="F59" s="61">
        <f t="shared" si="45"/>
        <v>34.503</v>
      </c>
      <c r="G59" s="77">
        <f t="shared" si="46"/>
        <v>166.84399999999999</v>
      </c>
      <c r="H59" s="42"/>
      <c r="I59" s="42"/>
      <c r="J59" s="42"/>
      <c r="K59" s="2">
        <v>53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34.915999999999997</v>
      </c>
      <c r="C60" s="61">
        <f t="shared" si="48"/>
        <v>33.988</v>
      </c>
      <c r="D60" s="61">
        <f t="shared" si="44"/>
        <v>38.222000000000001</v>
      </c>
      <c r="E60" s="61">
        <f t="shared" si="49"/>
        <v>37.700000000000003</v>
      </c>
      <c r="F60" s="61">
        <f t="shared" si="45"/>
        <v>37.758000000000003</v>
      </c>
      <c r="G60" s="77">
        <f t="shared" si="46"/>
        <v>182.58400000000003</v>
      </c>
      <c r="H60" s="42"/>
      <c r="I60" s="42"/>
      <c r="J60" s="42"/>
      <c r="K60" s="2">
        <v>58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36.722000000000001</v>
      </c>
      <c r="C61" s="61">
        <f t="shared" si="48"/>
        <v>35.746000000000002</v>
      </c>
      <c r="D61" s="61">
        <f t="shared" si="44"/>
        <v>40.198999999999998</v>
      </c>
      <c r="E61" s="61">
        <f t="shared" si="49"/>
        <v>39.65</v>
      </c>
      <c r="F61" s="61">
        <f t="shared" si="45"/>
        <v>39.710999999999999</v>
      </c>
      <c r="G61" s="77">
        <f t="shared" si="46"/>
        <v>192.02800000000002</v>
      </c>
      <c r="H61" s="42"/>
      <c r="I61" s="42"/>
      <c r="J61" s="42"/>
      <c r="K61" s="2">
        <v>61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38.527999999999999</v>
      </c>
      <c r="C62" s="61">
        <f t="shared" si="48"/>
        <v>37.503999999999998</v>
      </c>
      <c r="D62" s="61">
        <f t="shared" si="44"/>
        <v>42.176000000000002</v>
      </c>
      <c r="E62" s="61">
        <f t="shared" si="49"/>
        <v>41.6</v>
      </c>
      <c r="F62" s="61">
        <f t="shared" si="45"/>
        <v>41.664000000000001</v>
      </c>
      <c r="G62" s="77">
        <f t="shared" si="46"/>
        <v>201.47199999999998</v>
      </c>
      <c r="H62" s="42"/>
      <c r="I62" s="42"/>
      <c r="J62" s="42"/>
      <c r="K62" s="2">
        <v>64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40.334000000000003</v>
      </c>
      <c r="C63" s="61">
        <f t="shared" si="48"/>
        <v>39.262</v>
      </c>
      <c r="D63" s="61">
        <f t="shared" si="44"/>
        <v>44.152999999999999</v>
      </c>
      <c r="E63" s="61">
        <f t="shared" si="49"/>
        <v>43.55</v>
      </c>
      <c r="F63" s="61">
        <f t="shared" si="45"/>
        <v>43.616999999999997</v>
      </c>
      <c r="G63" s="77">
        <f t="shared" si="46"/>
        <v>210.91599999999997</v>
      </c>
      <c r="H63" s="42"/>
      <c r="I63" s="42"/>
      <c r="J63" s="42"/>
      <c r="K63" s="2">
        <v>67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42.14</v>
      </c>
      <c r="C64" s="61">
        <f t="shared" si="48"/>
        <v>41.02</v>
      </c>
      <c r="D64" s="61">
        <f t="shared" si="44"/>
        <v>46.13</v>
      </c>
      <c r="E64" s="61">
        <f t="shared" si="49"/>
        <v>45.5</v>
      </c>
      <c r="F64" s="61">
        <f t="shared" si="45"/>
        <v>45.57</v>
      </c>
      <c r="G64" s="77">
        <f t="shared" si="46"/>
        <v>220.35999999999999</v>
      </c>
      <c r="H64" s="42"/>
      <c r="I64" s="42"/>
      <c r="J64" s="42"/>
      <c r="K64" s="2">
        <v>70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252.83999999999997</v>
      </c>
      <c r="C65" s="22">
        <f>SUM(C58:C64)</f>
        <v>246.12</v>
      </c>
      <c r="D65" s="22">
        <f>SUM(D58:D64)</f>
        <v>276.78000000000003</v>
      </c>
      <c r="E65" s="22">
        <f>SUM(E58:E64)</f>
        <v>273</v>
      </c>
      <c r="F65" s="22">
        <f>SUM(F58:F64)</f>
        <v>273.42</v>
      </c>
      <c r="G65" s="77">
        <f t="shared" si="46"/>
        <v>1322.16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60.000000000000007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602</v>
      </c>
      <c r="C67" s="79">
        <v>586</v>
      </c>
      <c r="D67" s="79">
        <v>659</v>
      </c>
      <c r="E67" s="79">
        <v>650</v>
      </c>
      <c r="F67" s="79">
        <v>651</v>
      </c>
      <c r="G67" s="82">
        <f>SUM(B67:F67)</f>
        <v>3148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18.059999999999999</v>
      </c>
      <c r="C68" s="31">
        <f>(C67*C66)/1000</f>
        <v>17.579999999999998</v>
      </c>
      <c r="D68" s="31">
        <f>(D67*D66)/1000</f>
        <v>19.77</v>
      </c>
      <c r="E68" s="31">
        <f>(F67*F66)/1000</f>
        <v>0</v>
      </c>
      <c r="F68" s="31">
        <f>(F67*F66)/1000</f>
        <v>0</v>
      </c>
      <c r="G68" s="86">
        <f>((G65*1000)/G67)/7</f>
        <v>60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126.42</v>
      </c>
      <c r="C69" s="35">
        <f>((C67*C66)*7)/1000</f>
        <v>123.06</v>
      </c>
      <c r="D69" s="35">
        <f>((D67*D66)*7)/1000</f>
        <v>138.38999999999999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60</v>
      </c>
      <c r="C70" s="38">
        <f>+(C65/C67)/7*1000</f>
        <v>60</v>
      </c>
      <c r="D70" s="38">
        <f>+(D65/D67)/7*1000</f>
        <v>60.000000000000007</v>
      </c>
      <c r="E70" s="38">
        <f>+(E65/E67)/7*1000</f>
        <v>60</v>
      </c>
      <c r="F70" s="38">
        <f>+(F65/F67)/7*1000</f>
        <v>60.000000000000007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N36:R36"/>
    <mergeCell ref="K37:L37"/>
    <mergeCell ref="L54:M54"/>
    <mergeCell ref="B55:F55"/>
    <mergeCell ref="A3:C3"/>
    <mergeCell ref="E9:G9"/>
    <mergeCell ref="T9:U9"/>
    <mergeCell ref="M11:N11"/>
    <mergeCell ref="B15:K15"/>
    <mergeCell ref="L15:S15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AF239"/>
  <sheetViews>
    <sheetView zoomScale="30" zoomScaleNormal="30" workbookViewId="0">
      <selection activeCell="T11" sqref="T1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22" t="s">
        <v>53</v>
      </c>
      <c r="N11" s="1022"/>
      <c r="O11" s="6"/>
      <c r="P11" s="6"/>
      <c r="Q11" s="1"/>
      <c r="R11" s="1"/>
      <c r="S11" s="1" t="s">
        <v>6</v>
      </c>
      <c r="T11" s="95">
        <v>45392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25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26" t="s">
        <v>8</v>
      </c>
      <c r="M15" s="1026"/>
      <c r="N15" s="1026"/>
      <c r="O15" s="1026"/>
      <c r="P15" s="1026"/>
      <c r="Q15" s="1026"/>
      <c r="R15" s="1026"/>
      <c r="S15" s="1026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17.600000000000001</v>
      </c>
      <c r="C18" s="167">
        <v>27.6</v>
      </c>
      <c r="D18" s="167">
        <v>16.100000000000001</v>
      </c>
      <c r="E18" s="167">
        <v>16.169879999999999</v>
      </c>
      <c r="F18" s="167">
        <v>16.600000000000001</v>
      </c>
      <c r="G18" s="167">
        <v>16.600000000000001</v>
      </c>
      <c r="H18" s="167">
        <v>24.1</v>
      </c>
      <c r="I18" s="167">
        <v>27.9</v>
      </c>
      <c r="J18" s="167">
        <v>17.2</v>
      </c>
      <c r="K18" s="168">
        <v>17.100000000000001</v>
      </c>
      <c r="L18" s="166">
        <v>9.8435333333333332</v>
      </c>
      <c r="M18" s="167">
        <v>16.100000000000001</v>
      </c>
      <c r="N18" s="167">
        <v>14.5</v>
      </c>
      <c r="O18" s="167">
        <v>14.5</v>
      </c>
      <c r="P18" s="167">
        <v>16.3</v>
      </c>
      <c r="Q18" s="167">
        <v>16.3</v>
      </c>
      <c r="R18" s="167">
        <v>25.8</v>
      </c>
      <c r="S18" s="167">
        <v>18.600000000000001</v>
      </c>
      <c r="T18" s="167">
        <v>10.3</v>
      </c>
      <c r="U18" s="172">
        <v>6.1</v>
      </c>
      <c r="V18" s="98">
        <f t="shared" ref="V18:V24" si="0">SUM(B18:U18)</f>
        <v>345.31341333333341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20.135749999999998</v>
      </c>
      <c r="C19" s="19">
        <f t="shared" ref="C19:C24" si="2">((((($C$26*$C$27)/1000)*7)-$C$18)/6)</f>
        <v>32.844166666666666</v>
      </c>
      <c r="D19" s="19">
        <f t="shared" ref="D19:D24" si="3">((((($D$26*$D$27)/1000)*7)-$D$18)/6)</f>
        <v>19.293166666666668</v>
      </c>
      <c r="E19" s="19">
        <f t="shared" ref="E19:E24" si="4">((((($E$26*$E$27)/1000)*7)-$E$18)/6)</f>
        <v>19.28152</v>
      </c>
      <c r="F19" s="19">
        <f t="shared" ref="F19:F24" si="5">((((($F$26*$F$27)/1000)*7)-$F$18)/6)</f>
        <v>19.962333333333333</v>
      </c>
      <c r="G19" s="19">
        <f t="shared" ref="G19:G24" si="6">((((($G$26*$G$27)/1000)*7)-$G$18)/6)</f>
        <v>19.922666666666668</v>
      </c>
      <c r="H19" s="19">
        <f t="shared" ref="H19:H24" si="7">((((($H$26*$H$27)/1000)*7)-$H$18)/6)</f>
        <v>29.105000000000004</v>
      </c>
      <c r="I19" s="19">
        <f t="shared" ref="I19:I24" si="8">((((($I$26*$I$27)/1000)*7)-$I$18)/6)</f>
        <v>33.667999999999999</v>
      </c>
      <c r="J19" s="19">
        <f t="shared" ref="J19:J24" si="9">((((($J$26*$J$27)/1000)*7)-$J$18)/6)</f>
        <v>20.464333333333336</v>
      </c>
      <c r="K19" s="104">
        <f t="shared" ref="K19:K24" si="10">((((($K$26*$K$27)/1000)*7)-$K$18)/6)</f>
        <v>20.866</v>
      </c>
      <c r="L19" s="18">
        <f t="shared" ref="L19:L24" si="11">((((($L$26*$L$27)/1000)*7)-$L$18)/6)</f>
        <v>11.722411111111109</v>
      </c>
      <c r="M19" s="19">
        <f t="shared" ref="M19:M24" si="12">((((($M$26*$M$27)/1000)*7)-$M$18)/6)</f>
        <v>19.574916666666667</v>
      </c>
      <c r="N19" s="19">
        <f t="shared" ref="N19:N24" si="13">((((($N$26*$N$27)/1000)*7)-$N$18)/6)</f>
        <v>17.813333333333333</v>
      </c>
      <c r="O19" s="19">
        <f t="shared" ref="O19:O24" si="14">((((($O$26*$O$27)/1000)*7)-$O$18)/6)</f>
        <v>17.437666666666669</v>
      </c>
      <c r="P19" s="19">
        <f t="shared" ref="P19:P24" si="15">((((($P$26*$P$27)/1000)*7)-$P$18)/6)</f>
        <v>20.264333333333333</v>
      </c>
      <c r="Q19" s="19">
        <f t="shared" ref="Q19:Q24" si="16">((((($Q$26*$Q$27)/1000)*7)-$Q$18)/6)</f>
        <v>20.342500000000005</v>
      </c>
      <c r="R19" s="19">
        <f t="shared" ref="R19:R24" si="17">((((($R$26*$R$27)/1000)*7)-$R$18)/6)</f>
        <v>32.047499999999999</v>
      </c>
      <c r="S19" s="19">
        <f t="shared" ref="S19:S24" si="18">((((($S$26*$S$27)/1000)*7)-$S$18)/6)</f>
        <v>22.694999999999997</v>
      </c>
      <c r="T19" s="19">
        <f t="shared" ref="T19:T24" si="19">((((($T$26*$T$27))/1000)*7)-$T$18)/6</f>
        <v>12.913333333333334</v>
      </c>
      <c r="U19" s="20">
        <f t="shared" ref="U19:U24" si="20">((((($U$26*$U$27)/1000)*7)-$U$18)/6)</f>
        <v>7.5688333333333331</v>
      </c>
      <c r="V19" s="98">
        <f t="shared" si="0"/>
        <v>417.92276444444445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20.135749999999998</v>
      </c>
      <c r="C20" s="19">
        <f t="shared" si="2"/>
        <v>32.844166666666666</v>
      </c>
      <c r="D20" s="19">
        <f t="shared" si="3"/>
        <v>19.293166666666668</v>
      </c>
      <c r="E20" s="19">
        <f t="shared" si="4"/>
        <v>19.28152</v>
      </c>
      <c r="F20" s="19">
        <f t="shared" si="5"/>
        <v>19.962333333333333</v>
      </c>
      <c r="G20" s="19">
        <f t="shared" si="6"/>
        <v>19.922666666666668</v>
      </c>
      <c r="H20" s="19">
        <f t="shared" si="7"/>
        <v>29.105000000000004</v>
      </c>
      <c r="I20" s="19">
        <f t="shared" si="8"/>
        <v>33.667999999999999</v>
      </c>
      <c r="J20" s="19">
        <f t="shared" si="9"/>
        <v>20.464333333333336</v>
      </c>
      <c r="K20" s="104">
        <f t="shared" si="10"/>
        <v>20.866</v>
      </c>
      <c r="L20" s="18">
        <f t="shared" si="11"/>
        <v>11.722411111111109</v>
      </c>
      <c r="M20" s="19">
        <f t="shared" si="12"/>
        <v>19.574916666666667</v>
      </c>
      <c r="N20" s="19">
        <f t="shared" si="13"/>
        <v>17.813333333333333</v>
      </c>
      <c r="O20" s="19">
        <f t="shared" si="14"/>
        <v>17.437666666666669</v>
      </c>
      <c r="P20" s="19">
        <f t="shared" si="15"/>
        <v>20.264333333333333</v>
      </c>
      <c r="Q20" s="19">
        <f t="shared" si="16"/>
        <v>20.342500000000005</v>
      </c>
      <c r="R20" s="19">
        <f t="shared" si="17"/>
        <v>32.047499999999999</v>
      </c>
      <c r="S20" s="19">
        <f t="shared" si="18"/>
        <v>22.694999999999997</v>
      </c>
      <c r="T20" s="19">
        <f t="shared" si="19"/>
        <v>12.913333333333334</v>
      </c>
      <c r="U20" s="20">
        <f t="shared" si="20"/>
        <v>7.5688333333333331</v>
      </c>
      <c r="V20" s="98">
        <f t="shared" si="0"/>
        <v>417.92276444444445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20.135749999999998</v>
      </c>
      <c r="C21" s="19">
        <f t="shared" si="2"/>
        <v>32.844166666666666</v>
      </c>
      <c r="D21" s="19">
        <f t="shared" si="3"/>
        <v>19.293166666666668</v>
      </c>
      <c r="E21" s="19">
        <f t="shared" si="4"/>
        <v>19.28152</v>
      </c>
      <c r="F21" s="19">
        <f t="shared" si="5"/>
        <v>19.962333333333333</v>
      </c>
      <c r="G21" s="19">
        <f t="shared" si="6"/>
        <v>19.922666666666668</v>
      </c>
      <c r="H21" s="19">
        <f t="shared" si="7"/>
        <v>29.105000000000004</v>
      </c>
      <c r="I21" s="19">
        <f t="shared" si="8"/>
        <v>33.667999999999999</v>
      </c>
      <c r="J21" s="19">
        <f t="shared" si="9"/>
        <v>20.464333333333336</v>
      </c>
      <c r="K21" s="104">
        <f t="shared" si="10"/>
        <v>20.866</v>
      </c>
      <c r="L21" s="18">
        <f t="shared" si="11"/>
        <v>11.722411111111109</v>
      </c>
      <c r="M21" s="19">
        <f t="shared" si="12"/>
        <v>19.574916666666667</v>
      </c>
      <c r="N21" s="19">
        <f t="shared" si="13"/>
        <v>17.813333333333333</v>
      </c>
      <c r="O21" s="19">
        <f t="shared" si="14"/>
        <v>17.437666666666669</v>
      </c>
      <c r="P21" s="19">
        <f t="shared" si="15"/>
        <v>20.264333333333333</v>
      </c>
      <c r="Q21" s="19">
        <f t="shared" si="16"/>
        <v>20.342500000000005</v>
      </c>
      <c r="R21" s="19">
        <f t="shared" si="17"/>
        <v>32.047499999999999</v>
      </c>
      <c r="S21" s="19">
        <f t="shared" si="18"/>
        <v>22.694999999999997</v>
      </c>
      <c r="T21" s="19">
        <f t="shared" si="19"/>
        <v>12.913333333333334</v>
      </c>
      <c r="U21" s="20">
        <f t="shared" si="20"/>
        <v>7.5688333333333331</v>
      </c>
      <c r="V21" s="98">
        <f t="shared" si="0"/>
        <v>417.92276444444445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20.135749999999998</v>
      </c>
      <c r="C22" s="19">
        <f t="shared" si="2"/>
        <v>32.844166666666666</v>
      </c>
      <c r="D22" s="19">
        <f t="shared" si="3"/>
        <v>19.293166666666668</v>
      </c>
      <c r="E22" s="19">
        <f t="shared" si="4"/>
        <v>19.28152</v>
      </c>
      <c r="F22" s="19">
        <f t="shared" si="5"/>
        <v>19.962333333333333</v>
      </c>
      <c r="G22" s="19">
        <f t="shared" si="6"/>
        <v>19.922666666666668</v>
      </c>
      <c r="H22" s="19">
        <f t="shared" si="7"/>
        <v>29.105000000000004</v>
      </c>
      <c r="I22" s="19">
        <f t="shared" si="8"/>
        <v>33.667999999999999</v>
      </c>
      <c r="J22" s="19">
        <f t="shared" si="9"/>
        <v>20.464333333333336</v>
      </c>
      <c r="K22" s="104">
        <f t="shared" si="10"/>
        <v>20.866</v>
      </c>
      <c r="L22" s="18">
        <f t="shared" si="11"/>
        <v>11.722411111111109</v>
      </c>
      <c r="M22" s="19">
        <f t="shared" si="12"/>
        <v>19.574916666666667</v>
      </c>
      <c r="N22" s="19">
        <f t="shared" si="13"/>
        <v>17.813333333333333</v>
      </c>
      <c r="O22" s="19">
        <f t="shared" si="14"/>
        <v>17.437666666666669</v>
      </c>
      <c r="P22" s="19">
        <f t="shared" si="15"/>
        <v>20.264333333333333</v>
      </c>
      <c r="Q22" s="19">
        <f t="shared" si="16"/>
        <v>20.342500000000005</v>
      </c>
      <c r="R22" s="19">
        <f t="shared" si="17"/>
        <v>32.047499999999999</v>
      </c>
      <c r="S22" s="19">
        <f t="shared" si="18"/>
        <v>22.694999999999997</v>
      </c>
      <c r="T22" s="19">
        <f t="shared" si="19"/>
        <v>12.913333333333334</v>
      </c>
      <c r="U22" s="20">
        <f t="shared" si="20"/>
        <v>7.5688333333333331</v>
      </c>
      <c r="V22" s="98">
        <f t="shared" si="0"/>
        <v>417.92276444444445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20.135749999999998</v>
      </c>
      <c r="C23" s="19">
        <f t="shared" si="2"/>
        <v>32.844166666666666</v>
      </c>
      <c r="D23" s="19">
        <f t="shared" si="3"/>
        <v>19.293166666666668</v>
      </c>
      <c r="E23" s="19">
        <f t="shared" si="4"/>
        <v>19.28152</v>
      </c>
      <c r="F23" s="19">
        <f t="shared" si="5"/>
        <v>19.962333333333333</v>
      </c>
      <c r="G23" s="19">
        <f t="shared" si="6"/>
        <v>19.922666666666668</v>
      </c>
      <c r="H23" s="19">
        <f t="shared" si="7"/>
        <v>29.105000000000004</v>
      </c>
      <c r="I23" s="19">
        <f t="shared" si="8"/>
        <v>33.667999999999999</v>
      </c>
      <c r="J23" s="19">
        <f t="shared" si="9"/>
        <v>20.464333333333336</v>
      </c>
      <c r="K23" s="104">
        <f t="shared" si="10"/>
        <v>20.866</v>
      </c>
      <c r="L23" s="18">
        <f t="shared" si="11"/>
        <v>11.722411111111109</v>
      </c>
      <c r="M23" s="19">
        <f t="shared" si="12"/>
        <v>19.574916666666667</v>
      </c>
      <c r="N23" s="19">
        <f t="shared" si="13"/>
        <v>17.813333333333333</v>
      </c>
      <c r="O23" s="19">
        <f t="shared" si="14"/>
        <v>17.437666666666669</v>
      </c>
      <c r="P23" s="19">
        <f t="shared" si="15"/>
        <v>20.264333333333333</v>
      </c>
      <c r="Q23" s="19">
        <f t="shared" si="16"/>
        <v>20.342500000000005</v>
      </c>
      <c r="R23" s="19">
        <f t="shared" si="17"/>
        <v>32.047499999999999</v>
      </c>
      <c r="S23" s="19">
        <f t="shared" si="18"/>
        <v>22.694999999999997</v>
      </c>
      <c r="T23" s="19">
        <f t="shared" si="19"/>
        <v>12.913333333333334</v>
      </c>
      <c r="U23" s="20">
        <f t="shared" si="20"/>
        <v>7.5688333333333331</v>
      </c>
      <c r="V23" s="98">
        <f t="shared" si="0"/>
        <v>417.92276444444445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20.135749999999998</v>
      </c>
      <c r="C24" s="19">
        <f t="shared" si="2"/>
        <v>32.844166666666666</v>
      </c>
      <c r="D24" s="19">
        <f t="shared" si="3"/>
        <v>19.293166666666668</v>
      </c>
      <c r="E24" s="19">
        <f t="shared" si="4"/>
        <v>19.28152</v>
      </c>
      <c r="F24" s="19">
        <f t="shared" si="5"/>
        <v>19.962333333333333</v>
      </c>
      <c r="G24" s="19">
        <f t="shared" si="6"/>
        <v>19.922666666666668</v>
      </c>
      <c r="H24" s="19">
        <f t="shared" si="7"/>
        <v>29.105000000000004</v>
      </c>
      <c r="I24" s="19">
        <f t="shared" si="8"/>
        <v>33.667999999999999</v>
      </c>
      <c r="J24" s="19">
        <f t="shared" si="9"/>
        <v>20.464333333333336</v>
      </c>
      <c r="K24" s="104">
        <f t="shared" si="10"/>
        <v>20.866</v>
      </c>
      <c r="L24" s="18">
        <f t="shared" si="11"/>
        <v>11.722411111111109</v>
      </c>
      <c r="M24" s="19">
        <f t="shared" si="12"/>
        <v>19.574916666666667</v>
      </c>
      <c r="N24" s="19">
        <f t="shared" si="13"/>
        <v>17.813333333333333</v>
      </c>
      <c r="O24" s="19">
        <f t="shared" si="14"/>
        <v>17.437666666666669</v>
      </c>
      <c r="P24" s="19">
        <f t="shared" si="15"/>
        <v>20.264333333333333</v>
      </c>
      <c r="Q24" s="19">
        <f t="shared" si="16"/>
        <v>20.342500000000005</v>
      </c>
      <c r="R24" s="19">
        <f t="shared" si="17"/>
        <v>32.047499999999999</v>
      </c>
      <c r="S24" s="19">
        <f t="shared" si="18"/>
        <v>22.694999999999997</v>
      </c>
      <c r="T24" s="19">
        <f t="shared" si="19"/>
        <v>12.913333333333334</v>
      </c>
      <c r="U24" s="20">
        <f t="shared" si="20"/>
        <v>7.5688333333333331</v>
      </c>
      <c r="V24" s="98">
        <f t="shared" si="0"/>
        <v>417.92276444444445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138.4145</v>
      </c>
      <c r="C25" s="22">
        <f>SUM(C18:C24)</f>
        <v>224.66499999999999</v>
      </c>
      <c r="D25" s="22">
        <f>SUM(D18:D24)</f>
        <v>131.85900000000001</v>
      </c>
      <c r="E25" s="22">
        <f>SUM(E18:E24)</f>
        <v>131.85900000000001</v>
      </c>
      <c r="F25" s="22">
        <f>SUM(F18:F24)</f>
        <v>136.374</v>
      </c>
      <c r="G25" s="22">
        <f t="shared" ref="G25:U25" si="21">SUM(G18:G24)</f>
        <v>136.13600000000002</v>
      </c>
      <c r="H25" s="22">
        <f t="shared" si="21"/>
        <v>198.73000000000002</v>
      </c>
      <c r="I25" s="22">
        <f t="shared" si="21"/>
        <v>229.90800000000002</v>
      </c>
      <c r="J25" s="22">
        <f t="shared" si="21"/>
        <v>139.98600000000002</v>
      </c>
      <c r="K25" s="154">
        <f t="shared" si="21"/>
        <v>142.29599999999999</v>
      </c>
      <c r="L25" s="21">
        <f t="shared" si="21"/>
        <v>80.177999999999983</v>
      </c>
      <c r="M25" s="22">
        <f t="shared" si="21"/>
        <v>133.54949999999999</v>
      </c>
      <c r="N25" s="22">
        <f t="shared" si="21"/>
        <v>121.38</v>
      </c>
      <c r="O25" s="22">
        <f t="shared" si="21"/>
        <v>119.12600000000002</v>
      </c>
      <c r="P25" s="19">
        <f t="shared" si="21"/>
        <v>137.886</v>
      </c>
      <c r="Q25" s="19">
        <f t="shared" si="21"/>
        <v>138.35500000000002</v>
      </c>
      <c r="R25" s="19">
        <f t="shared" si="21"/>
        <v>218.08500000000004</v>
      </c>
      <c r="S25" s="19">
        <f t="shared" si="21"/>
        <v>154.76999999999998</v>
      </c>
      <c r="T25" s="19">
        <f t="shared" si="21"/>
        <v>87.78</v>
      </c>
      <c r="U25" s="19">
        <f t="shared" si="21"/>
        <v>51.512999999999991</v>
      </c>
      <c r="V25" s="98">
        <f>SUM(V18:V24)</f>
        <v>2852.8500000000004</v>
      </c>
    </row>
    <row r="26" spans="1:32" s="2" customFormat="1" ht="36.75" customHeight="1" x14ac:dyDescent="0.25">
      <c r="A26" s="148" t="s">
        <v>11</v>
      </c>
      <c r="B26" s="23">
        <v>35.5</v>
      </c>
      <c r="C26" s="24">
        <v>35</v>
      </c>
      <c r="D26" s="24">
        <v>34.5</v>
      </c>
      <c r="E26" s="24">
        <v>34.5</v>
      </c>
      <c r="F26" s="24">
        <v>34</v>
      </c>
      <c r="G26" s="24">
        <v>34</v>
      </c>
      <c r="H26" s="24">
        <v>34</v>
      </c>
      <c r="I26" s="24">
        <v>34</v>
      </c>
      <c r="J26" s="24">
        <v>33</v>
      </c>
      <c r="K26" s="155">
        <v>33</v>
      </c>
      <c r="L26" s="23">
        <v>34.5</v>
      </c>
      <c r="M26" s="24">
        <v>34.5</v>
      </c>
      <c r="N26" s="24">
        <v>34</v>
      </c>
      <c r="O26" s="24">
        <v>33.5</v>
      </c>
      <c r="P26" s="24">
        <v>33.5</v>
      </c>
      <c r="Q26" s="24">
        <v>33.5</v>
      </c>
      <c r="R26" s="24">
        <v>33.5</v>
      </c>
      <c r="S26" s="24">
        <v>33</v>
      </c>
      <c r="T26" s="24">
        <v>33</v>
      </c>
      <c r="U26" s="25">
        <v>33</v>
      </c>
      <c r="V26" s="99">
        <f>((V25/V27)/7)*1000</f>
        <v>33.911632551173241</v>
      </c>
    </row>
    <row r="27" spans="1:32" s="2" customFormat="1" ht="33" customHeight="1" x14ac:dyDescent="0.25">
      <c r="A27" s="149" t="s">
        <v>12</v>
      </c>
      <c r="B27" s="26">
        <v>557</v>
      </c>
      <c r="C27" s="27">
        <v>917</v>
      </c>
      <c r="D27" s="27">
        <v>546</v>
      </c>
      <c r="E27" s="27">
        <v>546</v>
      </c>
      <c r="F27" s="27">
        <v>573</v>
      </c>
      <c r="G27" s="27">
        <v>572</v>
      </c>
      <c r="H27" s="27">
        <v>835</v>
      </c>
      <c r="I27" s="27">
        <v>966</v>
      </c>
      <c r="J27" s="27">
        <v>606</v>
      </c>
      <c r="K27" s="156">
        <v>616</v>
      </c>
      <c r="L27" s="26">
        <v>332</v>
      </c>
      <c r="M27" s="27">
        <v>553</v>
      </c>
      <c r="N27" s="27">
        <v>510</v>
      </c>
      <c r="O27" s="27">
        <v>508</v>
      </c>
      <c r="P27" s="27">
        <v>588</v>
      </c>
      <c r="Q27" s="27">
        <v>590</v>
      </c>
      <c r="R27" s="27">
        <v>930</v>
      </c>
      <c r="S27" s="27">
        <v>670</v>
      </c>
      <c r="T27" s="27">
        <v>380</v>
      </c>
      <c r="U27" s="28">
        <v>223</v>
      </c>
      <c r="V27" s="29">
        <f>SUM(B27,C27,D27,E27,F27,G27,H27,I27,J27,K27,L27,M27,N27,O27,P27,Q27,R27,S27,T27,U27)</f>
        <v>12018</v>
      </c>
      <c r="W27" s="2">
        <f>((V25*1000)/V27)/7</f>
        <v>33.911632551173248</v>
      </c>
    </row>
    <row r="28" spans="1:32" s="2" customFormat="1" ht="33" customHeight="1" x14ac:dyDescent="0.25">
      <c r="A28" s="150" t="s">
        <v>13</v>
      </c>
      <c r="B28" s="30">
        <f>(B27*B26)/1000</f>
        <v>19.773499999999999</v>
      </c>
      <c r="C28" s="31">
        <f>(C27*C26)/1000</f>
        <v>32.094999999999999</v>
      </c>
      <c r="D28" s="31">
        <f>(D27*D26)/1000</f>
        <v>18.837</v>
      </c>
      <c r="E28" s="31">
        <f>(E27*E26)/1000</f>
        <v>18.837</v>
      </c>
      <c r="F28" s="31">
        <f>(F27*F26)/1000</f>
        <v>19.481999999999999</v>
      </c>
      <c r="G28" s="31">
        <f t="shared" ref="G28:U28" si="22">(G27*G26)/1000</f>
        <v>19.448</v>
      </c>
      <c r="H28" s="31">
        <f t="shared" si="22"/>
        <v>28.39</v>
      </c>
      <c r="I28" s="31">
        <f t="shared" si="22"/>
        <v>32.844000000000001</v>
      </c>
      <c r="J28" s="31">
        <f t="shared" si="22"/>
        <v>19.998000000000001</v>
      </c>
      <c r="K28" s="142">
        <f t="shared" si="22"/>
        <v>20.327999999999999</v>
      </c>
      <c r="L28" s="30">
        <f t="shared" si="22"/>
        <v>11.454000000000001</v>
      </c>
      <c r="M28" s="31">
        <f t="shared" si="22"/>
        <v>19.078499999999998</v>
      </c>
      <c r="N28" s="31">
        <f t="shared" si="22"/>
        <v>17.34</v>
      </c>
      <c r="O28" s="31">
        <f t="shared" si="22"/>
        <v>17.018000000000001</v>
      </c>
      <c r="P28" s="31">
        <f t="shared" si="22"/>
        <v>19.698</v>
      </c>
      <c r="Q28" s="31">
        <f t="shared" si="22"/>
        <v>19.765000000000001</v>
      </c>
      <c r="R28" s="31">
        <f t="shared" si="22"/>
        <v>31.155000000000001</v>
      </c>
      <c r="S28" s="31">
        <f t="shared" si="22"/>
        <v>22.11</v>
      </c>
      <c r="T28" s="31">
        <f t="shared" si="22"/>
        <v>12.54</v>
      </c>
      <c r="U28" s="31">
        <f t="shared" si="22"/>
        <v>7.359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138.4145</v>
      </c>
      <c r="C29" s="35">
        <f t="shared" si="23"/>
        <v>224.66499999999999</v>
      </c>
      <c r="D29" s="35">
        <f t="shared" si="23"/>
        <v>131.85900000000001</v>
      </c>
      <c r="E29" s="35">
        <f t="shared" si="23"/>
        <v>131.85900000000001</v>
      </c>
      <c r="F29" s="35">
        <f t="shared" si="23"/>
        <v>136.374</v>
      </c>
      <c r="G29" s="35">
        <f t="shared" si="23"/>
        <v>136.136</v>
      </c>
      <c r="H29" s="35">
        <f t="shared" si="23"/>
        <v>198.73</v>
      </c>
      <c r="I29" s="35">
        <f t="shared" si="23"/>
        <v>229.90799999999999</v>
      </c>
      <c r="J29" s="35">
        <f t="shared" si="23"/>
        <v>139.98599999999999</v>
      </c>
      <c r="K29" s="157">
        <f t="shared" ref="K29:U29" si="24">((K27*K26)*7)/1000</f>
        <v>142.29599999999999</v>
      </c>
      <c r="L29" s="34">
        <f t="shared" si="24"/>
        <v>80.177999999999997</v>
      </c>
      <c r="M29" s="35">
        <f t="shared" si="24"/>
        <v>133.54949999999999</v>
      </c>
      <c r="N29" s="35">
        <f t="shared" si="24"/>
        <v>121.38</v>
      </c>
      <c r="O29" s="35">
        <f t="shared" si="24"/>
        <v>119.126</v>
      </c>
      <c r="P29" s="35">
        <f t="shared" si="24"/>
        <v>137.886</v>
      </c>
      <c r="Q29" s="35">
        <f t="shared" si="24"/>
        <v>138.35499999999999</v>
      </c>
      <c r="R29" s="35">
        <f t="shared" si="24"/>
        <v>218.08500000000001</v>
      </c>
      <c r="S29" s="35">
        <f t="shared" si="24"/>
        <v>154.77000000000001</v>
      </c>
      <c r="T29" s="35">
        <f t="shared" si="24"/>
        <v>87.78</v>
      </c>
      <c r="U29" s="35">
        <f t="shared" si="24"/>
        <v>51.512999999999998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35.5</v>
      </c>
      <c r="C30" s="38">
        <f t="shared" si="25"/>
        <v>34.999999999999993</v>
      </c>
      <c r="D30" s="38">
        <f t="shared" si="25"/>
        <v>34.5</v>
      </c>
      <c r="E30" s="38">
        <f t="shared" si="25"/>
        <v>34.5</v>
      </c>
      <c r="F30" s="38">
        <f t="shared" si="25"/>
        <v>33.999999999999993</v>
      </c>
      <c r="G30" s="38">
        <f t="shared" si="25"/>
        <v>34.000000000000007</v>
      </c>
      <c r="H30" s="38">
        <f t="shared" si="25"/>
        <v>34</v>
      </c>
      <c r="I30" s="38">
        <f t="shared" si="25"/>
        <v>34</v>
      </c>
      <c r="J30" s="38">
        <f t="shared" si="25"/>
        <v>33.000000000000007</v>
      </c>
      <c r="K30" s="158">
        <f t="shared" ref="K30:U30" si="26">+(K25/K27)/7*1000</f>
        <v>32.999999999999993</v>
      </c>
      <c r="L30" s="37">
        <f t="shared" si="26"/>
        <v>34.499999999999986</v>
      </c>
      <c r="M30" s="38">
        <f t="shared" si="26"/>
        <v>34.499999999999993</v>
      </c>
      <c r="N30" s="38">
        <f t="shared" si="26"/>
        <v>33.999999999999993</v>
      </c>
      <c r="O30" s="38">
        <f t="shared" si="26"/>
        <v>33.500000000000007</v>
      </c>
      <c r="P30" s="38">
        <f t="shared" si="26"/>
        <v>33.499999999999993</v>
      </c>
      <c r="Q30" s="38">
        <f t="shared" si="26"/>
        <v>33.500000000000007</v>
      </c>
      <c r="R30" s="38">
        <f t="shared" si="26"/>
        <v>33.500000000000007</v>
      </c>
      <c r="S30" s="38">
        <f t="shared" si="26"/>
        <v>32.999999999999993</v>
      </c>
      <c r="T30" s="38">
        <f>+(T25/T27)/7*1000</f>
        <v>33</v>
      </c>
      <c r="U30" s="38">
        <f t="shared" si="26"/>
        <v>32.999999999999993</v>
      </c>
      <c r="V30" s="40"/>
    </row>
    <row r="31" spans="1:32" ht="33.75" customHeight="1" x14ac:dyDescent="0.25">
      <c r="A31" s="41"/>
      <c r="B31" s="42">
        <v>35.5</v>
      </c>
      <c r="C31" s="42">
        <v>35</v>
      </c>
      <c r="D31" s="42">
        <v>34.5</v>
      </c>
      <c r="E31" s="42">
        <v>34.5</v>
      </c>
      <c r="F31" s="42">
        <v>34</v>
      </c>
      <c r="G31" s="42">
        <v>34</v>
      </c>
      <c r="H31" s="42">
        <v>34</v>
      </c>
      <c r="I31" s="42">
        <v>34</v>
      </c>
      <c r="J31" s="42">
        <v>33</v>
      </c>
      <c r="K31" s="42">
        <v>33</v>
      </c>
      <c r="L31" s="42">
        <v>34.5</v>
      </c>
      <c r="M31" s="42">
        <v>34.5</v>
      </c>
      <c r="N31" s="42">
        <v>34</v>
      </c>
      <c r="O31" s="42">
        <v>33.5</v>
      </c>
      <c r="P31" s="42">
        <v>33.5</v>
      </c>
      <c r="Q31" s="42">
        <v>33.5</v>
      </c>
      <c r="R31" s="42">
        <v>33.5</v>
      </c>
      <c r="S31" s="42">
        <v>33</v>
      </c>
      <c r="T31" s="42">
        <v>33</v>
      </c>
      <c r="U31" s="42">
        <v>33</v>
      </c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23" t="s">
        <v>17</v>
      </c>
      <c r="C36" s="1024"/>
      <c r="D36" s="1024"/>
      <c r="E36" s="1024"/>
      <c r="F36" s="1024"/>
      <c r="G36" s="1024"/>
      <c r="H36" s="75"/>
      <c r="L36" s="44"/>
      <c r="M36" s="88" t="s">
        <v>18</v>
      </c>
      <c r="N36" s="1016" t="s">
        <v>17</v>
      </c>
      <c r="O36" s="1016"/>
      <c r="P36" s="1016"/>
      <c r="Q36" s="1016"/>
      <c r="R36" s="1017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21" t="s">
        <v>27</v>
      </c>
      <c r="L37" s="1021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16.399999999999999</v>
      </c>
      <c r="C39" s="61">
        <v>19.600000000000001</v>
      </c>
      <c r="D39" s="61">
        <v>23.4</v>
      </c>
      <c r="E39" s="61">
        <v>16.899999999999999</v>
      </c>
      <c r="F39" s="61">
        <v>18.100000000000001</v>
      </c>
      <c r="G39" s="94">
        <v>11.6</v>
      </c>
      <c r="H39" s="127">
        <f t="shared" ref="H39:H46" si="27">SUM(B39:G39)</f>
        <v>106</v>
      </c>
      <c r="I39" s="49"/>
      <c r="J39" s="49"/>
      <c r="K39" s="89">
        <v>13</v>
      </c>
      <c r="L39" s="90"/>
      <c r="M39" s="96" t="s">
        <v>51</v>
      </c>
      <c r="N39" s="101">
        <f>(($N$48*T39)/1000)</f>
        <v>50.4</v>
      </c>
      <c r="O39" s="101">
        <f>(($O$48*T39)/1000)</f>
        <v>41.23</v>
      </c>
      <c r="P39" s="101">
        <f>(($P$48*T39)/1000)</f>
        <v>50.47</v>
      </c>
      <c r="Q39" s="101">
        <f>(($Q$48*T39)/1000)</f>
        <v>40.32</v>
      </c>
      <c r="R39" s="101">
        <f>(($R$48*T39)/1000)</f>
        <v>41.58</v>
      </c>
      <c r="S39" s="77">
        <f t="shared" ref="S39:S46" si="28">SUM(N39:R39)</f>
        <v>224</v>
      </c>
      <c r="T39" s="2">
        <v>70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19.316666666666663</v>
      </c>
      <c r="C40" s="61">
        <f t="shared" ref="C40:C45" si="30">((((($C$47*$C$48)/1000)*7)-$C$39)/6)</f>
        <v>23.177583333333335</v>
      </c>
      <c r="D40" s="61">
        <f t="shared" ref="D40:D45" si="31">((((($D$47*$D$48)/1000)*7)-$D$39)/6)</f>
        <v>27.857249999999997</v>
      </c>
      <c r="E40" s="61">
        <f t="shared" ref="E40:E45" si="32">((((($E$47*$E$48)/1000)*7)-$E$39)/6)</f>
        <v>20.388333333333335</v>
      </c>
      <c r="F40" s="61">
        <f t="shared" ref="F40:F45" si="33">((((($F$47*$F$48)/1000)*7)-$F$39)/6)</f>
        <v>21.695666666666668</v>
      </c>
      <c r="G40" s="94">
        <f t="shared" ref="G40:G45" si="34">((((($G$47*$G$48)/1000)*7)-$G$39)/6)</f>
        <v>14.090833333333334</v>
      </c>
      <c r="H40" s="127">
        <f t="shared" si="27"/>
        <v>126.52633333333333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57.6</v>
      </c>
      <c r="O40" s="101">
        <f t="shared" ref="O40:O45" si="36">(($O$48*T40)/1000)</f>
        <v>47.12</v>
      </c>
      <c r="P40" s="101">
        <f t="shared" ref="P40:P45" si="37">(($P$48*T40)/1000)</f>
        <v>57.68</v>
      </c>
      <c r="Q40" s="101">
        <f t="shared" ref="Q40:Q45" si="38">(($Q$48*T40)/1000)</f>
        <v>46.08</v>
      </c>
      <c r="R40" s="101">
        <f t="shared" ref="R40:R45" si="39">(($R$48*T40)/1000)</f>
        <v>47.52</v>
      </c>
      <c r="S40" s="77">
        <f t="shared" si="28"/>
        <v>256</v>
      </c>
      <c r="T40" s="2">
        <v>80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19.316666666666663</v>
      </c>
      <c r="C41" s="61">
        <f t="shared" si="30"/>
        <v>23.177583333333335</v>
      </c>
      <c r="D41" s="61">
        <f t="shared" si="31"/>
        <v>27.857249999999997</v>
      </c>
      <c r="E41" s="61">
        <f t="shared" si="32"/>
        <v>20.388333333333335</v>
      </c>
      <c r="F41" s="61">
        <f t="shared" si="33"/>
        <v>21.695666666666668</v>
      </c>
      <c r="G41" s="94">
        <f t="shared" si="34"/>
        <v>14.090833333333334</v>
      </c>
      <c r="H41" s="127">
        <f t="shared" si="27"/>
        <v>126.52633333333333</v>
      </c>
      <c r="I41" s="49"/>
      <c r="J41" s="49"/>
      <c r="K41" s="89">
        <v>17.5</v>
      </c>
      <c r="L41" s="90"/>
      <c r="M41" s="96" t="s">
        <v>20</v>
      </c>
      <c r="N41" s="101">
        <f t="shared" si="35"/>
        <v>60.48</v>
      </c>
      <c r="O41" s="101">
        <f t="shared" si="36"/>
        <v>49.475999999999999</v>
      </c>
      <c r="P41" s="101">
        <f t="shared" si="37"/>
        <v>60.564</v>
      </c>
      <c r="Q41" s="101">
        <f t="shared" si="38"/>
        <v>48.384</v>
      </c>
      <c r="R41" s="101">
        <f t="shared" si="39"/>
        <v>49.896000000000001</v>
      </c>
      <c r="S41" s="77">
        <f t="shared" si="28"/>
        <v>268.8</v>
      </c>
      <c r="T41" s="2">
        <v>84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19.316666666666663</v>
      </c>
      <c r="C42" s="61">
        <f t="shared" si="30"/>
        <v>23.177583333333335</v>
      </c>
      <c r="D42" s="61">
        <f t="shared" si="31"/>
        <v>27.857249999999997</v>
      </c>
      <c r="E42" s="61">
        <f t="shared" si="32"/>
        <v>20.388333333333335</v>
      </c>
      <c r="F42" s="61">
        <f t="shared" si="33"/>
        <v>21.695666666666668</v>
      </c>
      <c r="G42" s="94">
        <f t="shared" si="34"/>
        <v>14.090833333333334</v>
      </c>
      <c r="H42" s="127">
        <f t="shared" si="27"/>
        <v>126.52633333333333</v>
      </c>
      <c r="I42" s="49"/>
      <c r="J42" s="49"/>
      <c r="K42" s="89">
        <v>21.5</v>
      </c>
      <c r="L42" s="90"/>
      <c r="M42" s="96" t="s">
        <v>28</v>
      </c>
      <c r="N42" s="101">
        <f t="shared" si="35"/>
        <v>64.8</v>
      </c>
      <c r="O42" s="101">
        <f t="shared" si="36"/>
        <v>53.01</v>
      </c>
      <c r="P42" s="101">
        <f t="shared" si="37"/>
        <v>64.89</v>
      </c>
      <c r="Q42" s="101">
        <f t="shared" si="38"/>
        <v>51.84</v>
      </c>
      <c r="R42" s="101">
        <f t="shared" si="39"/>
        <v>53.46</v>
      </c>
      <c r="S42" s="77">
        <f t="shared" si="28"/>
        <v>288</v>
      </c>
      <c r="T42" s="2">
        <v>90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19.316666666666663</v>
      </c>
      <c r="C43" s="61">
        <f t="shared" si="30"/>
        <v>23.177583333333335</v>
      </c>
      <c r="D43" s="61">
        <f t="shared" si="31"/>
        <v>27.857249999999997</v>
      </c>
      <c r="E43" s="61">
        <f t="shared" si="32"/>
        <v>20.388333333333335</v>
      </c>
      <c r="F43" s="61">
        <f t="shared" si="33"/>
        <v>21.695666666666668</v>
      </c>
      <c r="G43" s="94">
        <f t="shared" si="34"/>
        <v>14.090833333333334</v>
      </c>
      <c r="H43" s="127">
        <f t="shared" si="27"/>
        <v>126.52633333333333</v>
      </c>
      <c r="I43" s="49"/>
      <c r="J43" s="49"/>
      <c r="K43" s="89">
        <v>26</v>
      </c>
      <c r="L43" s="90"/>
      <c r="M43" s="96" t="s">
        <v>21</v>
      </c>
      <c r="N43" s="101">
        <f t="shared" si="35"/>
        <v>69.12</v>
      </c>
      <c r="O43" s="101">
        <f t="shared" si="36"/>
        <v>56.543999999999997</v>
      </c>
      <c r="P43" s="101">
        <f t="shared" si="37"/>
        <v>69.215999999999994</v>
      </c>
      <c r="Q43" s="101">
        <f t="shared" si="38"/>
        <v>55.295999999999999</v>
      </c>
      <c r="R43" s="101">
        <f t="shared" si="39"/>
        <v>57.024000000000001</v>
      </c>
      <c r="S43" s="77">
        <f t="shared" si="28"/>
        <v>307.2</v>
      </c>
      <c r="T43" s="2">
        <v>96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19.316666666666663</v>
      </c>
      <c r="C44" s="61">
        <f t="shared" si="30"/>
        <v>23.177583333333335</v>
      </c>
      <c r="D44" s="61">
        <f t="shared" si="31"/>
        <v>27.857249999999997</v>
      </c>
      <c r="E44" s="61">
        <f t="shared" si="32"/>
        <v>20.388333333333335</v>
      </c>
      <c r="F44" s="61">
        <f t="shared" si="33"/>
        <v>21.695666666666668</v>
      </c>
      <c r="G44" s="94">
        <f t="shared" si="34"/>
        <v>14.090833333333334</v>
      </c>
      <c r="H44" s="127">
        <f t="shared" si="27"/>
        <v>126.52633333333333</v>
      </c>
      <c r="I44" s="49"/>
      <c r="J44" s="49"/>
      <c r="K44" s="89">
        <v>28</v>
      </c>
      <c r="L44" s="90"/>
      <c r="M44" s="96" t="s">
        <v>22</v>
      </c>
      <c r="N44" s="101">
        <f t="shared" si="35"/>
        <v>74.16</v>
      </c>
      <c r="O44" s="101">
        <f t="shared" si="36"/>
        <v>60.667000000000002</v>
      </c>
      <c r="P44" s="101">
        <f t="shared" si="37"/>
        <v>74.263000000000005</v>
      </c>
      <c r="Q44" s="101">
        <f t="shared" si="38"/>
        <v>59.328000000000003</v>
      </c>
      <c r="R44" s="101">
        <f t="shared" si="39"/>
        <v>61.182000000000002</v>
      </c>
      <c r="S44" s="77">
        <f t="shared" si="28"/>
        <v>329.6</v>
      </c>
      <c r="T44" s="2">
        <v>103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19.316666666666663</v>
      </c>
      <c r="C45" s="61">
        <f t="shared" si="30"/>
        <v>23.177583333333335</v>
      </c>
      <c r="D45" s="61">
        <f t="shared" si="31"/>
        <v>27.857249999999997</v>
      </c>
      <c r="E45" s="61">
        <f t="shared" si="32"/>
        <v>20.388333333333335</v>
      </c>
      <c r="F45" s="61">
        <f t="shared" si="33"/>
        <v>21.695666666666668</v>
      </c>
      <c r="G45" s="94">
        <f t="shared" si="34"/>
        <v>14.090833333333334</v>
      </c>
      <c r="H45" s="127">
        <f t="shared" si="27"/>
        <v>126.52633333333333</v>
      </c>
      <c r="I45" s="49"/>
      <c r="J45" s="49"/>
      <c r="K45" s="89">
        <v>29.5</v>
      </c>
      <c r="L45" s="90"/>
      <c r="M45" s="96" t="s">
        <v>23</v>
      </c>
      <c r="N45" s="101">
        <f t="shared" si="35"/>
        <v>77.040000000000006</v>
      </c>
      <c r="O45" s="101">
        <f t="shared" si="36"/>
        <v>63.023000000000003</v>
      </c>
      <c r="P45" s="101">
        <f t="shared" si="37"/>
        <v>77.147000000000006</v>
      </c>
      <c r="Q45" s="101">
        <f t="shared" si="38"/>
        <v>61.631999999999998</v>
      </c>
      <c r="R45" s="101">
        <f t="shared" si="39"/>
        <v>63.558</v>
      </c>
      <c r="S45" s="77">
        <f t="shared" si="28"/>
        <v>342.40000000000003</v>
      </c>
      <c r="T45" s="2">
        <v>107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132.29999999999998</v>
      </c>
      <c r="C46" s="22">
        <f t="shared" si="40"/>
        <v>158.66550000000001</v>
      </c>
      <c r="D46" s="22">
        <f t="shared" si="40"/>
        <v>190.54349999999997</v>
      </c>
      <c r="E46" s="22">
        <f t="shared" si="40"/>
        <v>139.23000000000002</v>
      </c>
      <c r="F46" s="22">
        <f t="shared" si="40"/>
        <v>148.274</v>
      </c>
      <c r="G46" s="22">
        <f t="shared" si="40"/>
        <v>96.14500000000001</v>
      </c>
      <c r="H46" s="127">
        <f t="shared" si="27"/>
        <v>865.15800000000002</v>
      </c>
      <c r="I46" s="49"/>
      <c r="J46" s="49"/>
      <c r="K46" s="49"/>
      <c r="M46" s="80" t="s">
        <v>9</v>
      </c>
      <c r="N46" s="62">
        <f>SUM(N39:N45)</f>
        <v>453.59999999999997</v>
      </c>
      <c r="O46" s="22">
        <f>SUM(O39:O45)</f>
        <v>371.07000000000005</v>
      </c>
      <c r="P46" s="22">
        <f>SUM(P39:P45)</f>
        <v>454.22999999999996</v>
      </c>
      <c r="Q46" s="22">
        <f>SUM(Q39:Q45)</f>
        <v>362.88</v>
      </c>
      <c r="R46" s="22">
        <f>SUM(R39:R45)</f>
        <v>374.21999999999997</v>
      </c>
      <c r="S46" s="77">
        <f t="shared" si="28"/>
        <v>2016.0000000000002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35</v>
      </c>
      <c r="C47" s="24">
        <v>34.5</v>
      </c>
      <c r="D47" s="24">
        <v>34.5</v>
      </c>
      <c r="E47" s="24">
        <v>34</v>
      </c>
      <c r="F47" s="24">
        <v>34</v>
      </c>
      <c r="G47" s="25">
        <v>33.5</v>
      </c>
      <c r="H47" s="128">
        <f>+((H46/H48)/7)*1000</f>
        <v>34.293562708102108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90.000000000000014</v>
      </c>
      <c r="T47" s="50"/>
      <c r="U47" s="50"/>
    </row>
    <row r="48" spans="1:32" ht="33.75" customHeight="1" x14ac:dyDescent="0.25">
      <c r="A48" s="71" t="s">
        <v>12</v>
      </c>
      <c r="B48" s="26">
        <v>540</v>
      </c>
      <c r="C48" s="27">
        <v>657</v>
      </c>
      <c r="D48" s="27">
        <v>789</v>
      </c>
      <c r="E48" s="27">
        <v>585</v>
      </c>
      <c r="F48" s="27">
        <v>623</v>
      </c>
      <c r="G48" s="28">
        <v>410</v>
      </c>
      <c r="H48" s="129">
        <f>SUM(B48:G48)</f>
        <v>3604</v>
      </c>
      <c r="I48" s="106"/>
      <c r="J48" s="106"/>
      <c r="K48" s="49"/>
      <c r="L48" s="51"/>
      <c r="M48" s="71" t="s">
        <v>12</v>
      </c>
      <c r="N48" s="79">
        <v>720</v>
      </c>
      <c r="O48" s="79">
        <v>589</v>
      </c>
      <c r="P48" s="79">
        <v>721</v>
      </c>
      <c r="Q48" s="79">
        <v>576</v>
      </c>
      <c r="R48" s="79">
        <v>594</v>
      </c>
      <c r="S48" s="82">
        <f>SUM(N48:R48)</f>
        <v>3200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18.899999999999999</v>
      </c>
      <c r="C49" s="31">
        <f t="shared" si="41"/>
        <v>22.666499999999999</v>
      </c>
      <c r="D49" s="31">
        <f t="shared" si="41"/>
        <v>27.220500000000001</v>
      </c>
      <c r="E49" s="31">
        <f t="shared" si="41"/>
        <v>19.89</v>
      </c>
      <c r="F49" s="31">
        <f t="shared" si="41"/>
        <v>21.181999999999999</v>
      </c>
      <c r="G49" s="31">
        <f t="shared" si="41"/>
        <v>13.734999999999999</v>
      </c>
      <c r="H49" s="130">
        <f>((H46*1000)/H48)/7</f>
        <v>34.293562708102108</v>
      </c>
      <c r="I49" s="107"/>
      <c r="J49" s="107"/>
      <c r="K49" s="49"/>
      <c r="M49" s="72" t="s">
        <v>13</v>
      </c>
      <c r="N49" s="65">
        <f>(N48*N47)/1000</f>
        <v>21.6</v>
      </c>
      <c r="O49" s="31">
        <f>(O48*O47)/1000</f>
        <v>17.670000000000002</v>
      </c>
      <c r="P49" s="31">
        <f>(P48*P47)/1000</f>
        <v>21.63</v>
      </c>
      <c r="Q49" s="31">
        <f>(Q48*Q47)/1000</f>
        <v>17.28</v>
      </c>
      <c r="R49" s="31">
        <f>(R48*R47)/1000</f>
        <v>17.82</v>
      </c>
      <c r="S49" s="83">
        <f>((S46*1000)/S48)/7</f>
        <v>90.000000000000014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132.30000000000001</v>
      </c>
      <c r="C50" s="35">
        <f t="shared" si="42"/>
        <v>158.66550000000001</v>
      </c>
      <c r="D50" s="35">
        <f t="shared" si="42"/>
        <v>190.54349999999999</v>
      </c>
      <c r="E50" s="35">
        <f t="shared" si="42"/>
        <v>139.22999999999999</v>
      </c>
      <c r="F50" s="35">
        <f t="shared" si="42"/>
        <v>148.274</v>
      </c>
      <c r="G50" s="35">
        <f t="shared" si="42"/>
        <v>96.144999999999996</v>
      </c>
      <c r="H50" s="108"/>
      <c r="I50" s="41"/>
      <c r="J50" s="41"/>
      <c r="K50" s="49"/>
      <c r="M50" s="73" t="s">
        <v>14</v>
      </c>
      <c r="N50" s="66">
        <f>((N48*N47)*7)/1000</f>
        <v>151.19999999999999</v>
      </c>
      <c r="O50" s="35">
        <f>((O48*O47)*7)/1000</f>
        <v>123.69</v>
      </c>
      <c r="P50" s="35">
        <f>((P48*P47)*7)/1000</f>
        <v>151.41</v>
      </c>
      <c r="Q50" s="35">
        <f>((Q48*Q47)*7)/1000</f>
        <v>120.96</v>
      </c>
      <c r="R50" s="35">
        <f>((R48*R47)*7)/1000</f>
        <v>124.74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34.999999999999993</v>
      </c>
      <c r="C51" s="38">
        <f t="shared" si="43"/>
        <v>34.5</v>
      </c>
      <c r="D51" s="38">
        <f t="shared" si="43"/>
        <v>34.499999999999993</v>
      </c>
      <c r="E51" s="38">
        <f t="shared" si="43"/>
        <v>34.000000000000007</v>
      </c>
      <c r="F51" s="38">
        <f t="shared" si="43"/>
        <v>33.999999999999993</v>
      </c>
      <c r="G51" s="38">
        <f t="shared" si="43"/>
        <v>33.5</v>
      </c>
      <c r="H51" s="131"/>
      <c r="I51" s="41"/>
      <c r="J51" s="41"/>
      <c r="K51" s="49"/>
      <c r="L51" s="41"/>
      <c r="M51" s="74" t="s">
        <v>15</v>
      </c>
      <c r="N51" s="67">
        <f>+(N46/N48)/7*1000</f>
        <v>90</v>
      </c>
      <c r="O51" s="38">
        <f>+(O46/O48)/7*1000</f>
        <v>90.000000000000014</v>
      </c>
      <c r="P51" s="38">
        <f>+(P46/P48)/7*1000</f>
        <v>89.999999999999986</v>
      </c>
      <c r="Q51" s="38">
        <f>+(Q46/Q48)/7*1000</f>
        <v>90</v>
      </c>
      <c r="R51" s="38">
        <f>+(R46/R48)/7*1000</f>
        <v>90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18"/>
      <c r="M54" s="1018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16" t="s">
        <v>30</v>
      </c>
      <c r="C55" s="1016"/>
      <c r="D55" s="1016"/>
      <c r="E55" s="1016"/>
      <c r="F55" s="1017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40.6</v>
      </c>
      <c r="C58" s="61">
        <f>(($C$67*K58)/1000)</f>
        <v>40.880000000000003</v>
      </c>
      <c r="D58" s="61">
        <f t="shared" ref="D58:D64" si="44">(($D$67*K58)/1000)</f>
        <v>46.06</v>
      </c>
      <c r="E58" s="61">
        <f>(($E$67*K58)/1000)</f>
        <v>45.15</v>
      </c>
      <c r="F58" s="61">
        <f t="shared" ref="F58:F64" si="45">(($F$67*K58)/1000)</f>
        <v>45.57</v>
      </c>
      <c r="G58" s="77">
        <f t="shared" ref="G58:G65" si="46">SUM(B58:F58)</f>
        <v>218.26</v>
      </c>
      <c r="H58" s="42"/>
      <c r="I58" s="42"/>
      <c r="J58" s="42"/>
      <c r="K58" s="2">
        <v>70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46.4</v>
      </c>
      <c r="C59" s="61">
        <f t="shared" ref="C59:C64" si="48">(($C$67*K59)/1000)</f>
        <v>46.72</v>
      </c>
      <c r="D59" s="61">
        <f t="shared" si="44"/>
        <v>52.64</v>
      </c>
      <c r="E59" s="61">
        <f t="shared" ref="E59:E64" si="49">(($E$67*K59)/1000)</f>
        <v>51.6</v>
      </c>
      <c r="F59" s="61">
        <f t="shared" si="45"/>
        <v>52.08</v>
      </c>
      <c r="G59" s="77">
        <f t="shared" si="46"/>
        <v>249.44</v>
      </c>
      <c r="H59" s="42"/>
      <c r="I59" s="42"/>
      <c r="J59" s="42"/>
      <c r="K59" s="2">
        <v>80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48.72</v>
      </c>
      <c r="C60" s="61">
        <f t="shared" si="48"/>
        <v>49.055999999999997</v>
      </c>
      <c r="D60" s="61">
        <f t="shared" si="44"/>
        <v>55.271999999999998</v>
      </c>
      <c r="E60" s="61">
        <f t="shared" si="49"/>
        <v>54.18</v>
      </c>
      <c r="F60" s="61">
        <f t="shared" si="45"/>
        <v>54.683999999999997</v>
      </c>
      <c r="G60" s="77">
        <f t="shared" si="46"/>
        <v>261.91200000000003</v>
      </c>
      <c r="H60" s="42"/>
      <c r="I60" s="42"/>
      <c r="J60" s="42"/>
      <c r="K60" s="2">
        <v>84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52.2</v>
      </c>
      <c r="C61" s="61">
        <f t="shared" si="48"/>
        <v>52.56</v>
      </c>
      <c r="D61" s="61">
        <f t="shared" si="44"/>
        <v>59.22</v>
      </c>
      <c r="E61" s="61">
        <f t="shared" si="49"/>
        <v>58.05</v>
      </c>
      <c r="F61" s="61">
        <f t="shared" si="45"/>
        <v>58.59</v>
      </c>
      <c r="G61" s="77">
        <f t="shared" si="46"/>
        <v>280.62</v>
      </c>
      <c r="H61" s="42"/>
      <c r="I61" s="42"/>
      <c r="J61" s="42"/>
      <c r="K61" s="2">
        <v>90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55.68</v>
      </c>
      <c r="C62" s="61">
        <f t="shared" si="48"/>
        <v>56.064</v>
      </c>
      <c r="D62" s="61">
        <f t="shared" si="44"/>
        <v>63.167999999999999</v>
      </c>
      <c r="E62" s="61">
        <f t="shared" si="49"/>
        <v>61.92</v>
      </c>
      <c r="F62" s="61">
        <f t="shared" si="45"/>
        <v>62.496000000000002</v>
      </c>
      <c r="G62" s="77">
        <f t="shared" si="46"/>
        <v>299.32799999999997</v>
      </c>
      <c r="H62" s="42"/>
      <c r="I62" s="42"/>
      <c r="J62" s="42"/>
      <c r="K62" s="2">
        <v>96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59.74</v>
      </c>
      <c r="C63" s="61">
        <f t="shared" si="48"/>
        <v>60.152000000000001</v>
      </c>
      <c r="D63" s="61">
        <f t="shared" si="44"/>
        <v>67.774000000000001</v>
      </c>
      <c r="E63" s="61">
        <f t="shared" si="49"/>
        <v>66.435000000000002</v>
      </c>
      <c r="F63" s="61">
        <f t="shared" si="45"/>
        <v>67.052999999999997</v>
      </c>
      <c r="G63" s="77">
        <f t="shared" si="46"/>
        <v>321.154</v>
      </c>
      <c r="H63" s="42"/>
      <c r="I63" s="42"/>
      <c r="J63" s="42"/>
      <c r="K63" s="2">
        <v>103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62.06</v>
      </c>
      <c r="C64" s="61">
        <f t="shared" si="48"/>
        <v>62.488</v>
      </c>
      <c r="D64" s="61">
        <f t="shared" si="44"/>
        <v>70.406000000000006</v>
      </c>
      <c r="E64" s="61">
        <f t="shared" si="49"/>
        <v>69.015000000000001</v>
      </c>
      <c r="F64" s="61">
        <f t="shared" si="45"/>
        <v>69.656999999999996</v>
      </c>
      <c r="G64" s="77">
        <f t="shared" si="46"/>
        <v>333.62599999999998</v>
      </c>
      <c r="H64" s="42"/>
      <c r="I64" s="42"/>
      <c r="J64" s="42"/>
      <c r="K64" s="2">
        <v>107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365.40000000000003</v>
      </c>
      <c r="C65" s="22">
        <f>SUM(C58:C64)</f>
        <v>367.92</v>
      </c>
      <c r="D65" s="22">
        <f>SUM(D58:D64)</f>
        <v>414.54</v>
      </c>
      <c r="E65" s="22">
        <f>SUM(E58:E64)</f>
        <v>406.35</v>
      </c>
      <c r="F65" s="22">
        <f>SUM(F58:F64)</f>
        <v>410.13</v>
      </c>
      <c r="G65" s="77">
        <f t="shared" si="46"/>
        <v>1964.3400000000001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90</v>
      </c>
      <c r="C66" s="24">
        <v>90</v>
      </c>
      <c r="D66" s="24">
        <v>90</v>
      </c>
      <c r="E66" s="24">
        <v>90</v>
      </c>
      <c r="F66" s="24">
        <v>90</v>
      </c>
      <c r="G66" s="78">
        <f>+((G65/G67)/7)*1000</f>
        <v>90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580</v>
      </c>
      <c r="C67" s="79">
        <v>584</v>
      </c>
      <c r="D67" s="79">
        <v>658</v>
      </c>
      <c r="E67" s="79">
        <v>645</v>
      </c>
      <c r="F67" s="79">
        <v>651</v>
      </c>
      <c r="G67" s="82">
        <f>SUM(B67:F67)</f>
        <v>3118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52.2</v>
      </c>
      <c r="C68" s="31">
        <f>(C67*C66)/1000</f>
        <v>52.56</v>
      </c>
      <c r="D68" s="31">
        <f>(D67*D66)/1000</f>
        <v>59.22</v>
      </c>
      <c r="E68" s="31">
        <f>(E67*E66)/1000</f>
        <v>58.05</v>
      </c>
      <c r="F68" s="31">
        <f>(F67*F66)/1000</f>
        <v>58.59</v>
      </c>
      <c r="G68" s="86">
        <f>((G65*1000)/G67)/7</f>
        <v>90.000000000000014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365.4</v>
      </c>
      <c r="C69" s="35">
        <f>((C67*C66)*7)/1000</f>
        <v>367.92</v>
      </c>
      <c r="D69" s="35">
        <f>((D67*D66)*7)/1000</f>
        <v>414.54</v>
      </c>
      <c r="E69" s="35">
        <f>((E67*E66)*7)/1000</f>
        <v>406.35</v>
      </c>
      <c r="F69" s="35">
        <f>((F67*F66)*7)/1000</f>
        <v>410.13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90</v>
      </c>
      <c r="C70" s="38">
        <f>+(C65/C67)/7*1000</f>
        <v>90</v>
      </c>
      <c r="D70" s="38">
        <f>+(D65/D67)/7*1000</f>
        <v>90</v>
      </c>
      <c r="E70" s="38">
        <f>+(E65/E67)/7*1000</f>
        <v>90</v>
      </c>
      <c r="F70" s="38">
        <f>+(F65/F67)/7*1000</f>
        <v>90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N36:R36"/>
    <mergeCell ref="K37:L37"/>
    <mergeCell ref="L54:M54"/>
    <mergeCell ref="B55:F55"/>
    <mergeCell ref="A3:C3"/>
    <mergeCell ref="E9:G9"/>
    <mergeCell ref="T9:U9"/>
    <mergeCell ref="M11:N11"/>
    <mergeCell ref="B15:K15"/>
    <mergeCell ref="L15:S15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AF239"/>
  <sheetViews>
    <sheetView topLeftCell="A4" zoomScale="30" zoomScaleNormal="30" workbookViewId="0">
      <selection activeCell="M12" sqref="M12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2.7109375" style="14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35</v>
      </c>
      <c r="U9" s="1020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022" t="s">
        <v>56</v>
      </c>
      <c r="N11" s="1022"/>
      <c r="O11" s="6"/>
      <c r="P11" s="6"/>
      <c r="Q11" s="1"/>
      <c r="R11" s="1"/>
      <c r="S11" s="1" t="s">
        <v>6</v>
      </c>
      <c r="T11" s="95">
        <v>45399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28" t="s">
        <v>8</v>
      </c>
      <c r="C15" s="1028"/>
      <c r="D15" s="1028"/>
      <c r="E15" s="1028"/>
      <c r="F15" s="1028"/>
      <c r="G15" s="1028"/>
      <c r="H15" s="1028"/>
      <c r="I15" s="1028"/>
      <c r="J15" s="1029"/>
      <c r="K15" s="1025" t="s">
        <v>29</v>
      </c>
      <c r="L15" s="1026"/>
      <c r="M15" s="1026"/>
      <c r="N15" s="1026"/>
      <c r="O15" s="1030"/>
      <c r="P15" s="1025" t="s">
        <v>31</v>
      </c>
      <c r="Q15" s="1026"/>
      <c r="R15" s="1026"/>
      <c r="S15" s="1026"/>
      <c r="T15" s="1026"/>
      <c r="U15" s="1030"/>
      <c r="V15" s="9"/>
    </row>
    <row r="16" spans="1:32" ht="39.950000000000003" customHeight="1" x14ac:dyDescent="0.25">
      <c r="A16" s="80" t="s">
        <v>34</v>
      </c>
      <c r="B16" s="111"/>
      <c r="C16" s="109"/>
      <c r="D16" s="110"/>
      <c r="E16" s="109"/>
      <c r="F16" s="109"/>
      <c r="G16" s="109"/>
      <c r="H16" s="110"/>
      <c r="I16" s="110"/>
      <c r="J16" s="112"/>
      <c r="K16" s="113"/>
      <c r="L16" s="114"/>
      <c r="M16" s="114"/>
      <c r="N16" s="114"/>
      <c r="O16" s="117"/>
      <c r="P16" s="113"/>
      <c r="Q16" s="114"/>
      <c r="R16" s="114"/>
      <c r="S16" s="114"/>
      <c r="T16" s="114"/>
      <c r="U16" s="115"/>
      <c r="V16" s="13" t="s">
        <v>9</v>
      </c>
      <c r="X16" s="15"/>
      <c r="Y16" s="15"/>
    </row>
    <row r="17" spans="1:32" ht="39.950000000000003" customHeight="1" x14ac:dyDescent="0.25">
      <c r="A17" s="80" t="s">
        <v>10</v>
      </c>
      <c r="B17" s="60">
        <v>1</v>
      </c>
      <c r="C17" s="16">
        <v>2</v>
      </c>
      <c r="D17" s="16">
        <v>3</v>
      </c>
      <c r="E17" s="16">
        <v>4</v>
      </c>
      <c r="F17" s="16">
        <v>5</v>
      </c>
      <c r="G17" s="16">
        <v>6</v>
      </c>
      <c r="H17" s="16">
        <v>7</v>
      </c>
      <c r="I17" s="16">
        <v>8</v>
      </c>
      <c r="J17" s="103">
        <v>9</v>
      </c>
      <c r="K17" s="11">
        <v>1</v>
      </c>
      <c r="L17" s="16">
        <v>2</v>
      </c>
      <c r="M17" s="16">
        <v>3</v>
      </c>
      <c r="N17" s="16">
        <v>4</v>
      </c>
      <c r="O17" s="103">
        <v>5</v>
      </c>
      <c r="P17" s="11">
        <v>1</v>
      </c>
      <c r="Q17" s="16">
        <v>2</v>
      </c>
      <c r="R17" s="16">
        <v>3</v>
      </c>
      <c r="S17" s="16">
        <v>4</v>
      </c>
      <c r="T17" s="16">
        <v>5</v>
      </c>
      <c r="U17" s="17"/>
      <c r="V17" s="13"/>
      <c r="X17" s="2"/>
      <c r="Y17" s="15"/>
    </row>
    <row r="18" spans="1:32" ht="39.950000000000003" customHeight="1" x14ac:dyDescent="0.25">
      <c r="A18" s="96" t="s">
        <v>51</v>
      </c>
      <c r="B18" s="61">
        <f>(($B$27*$B$26)/1000)</f>
        <v>8.4375</v>
      </c>
      <c r="C18" s="19">
        <f>(($C$27*$C$26)/1000)</f>
        <v>12.5625</v>
      </c>
      <c r="D18" s="19">
        <f>(($D$27*$D$26)/1000)</f>
        <v>29.602</v>
      </c>
      <c r="E18" s="19">
        <f>(($E$27*$E$26)/1000)</f>
        <v>29.587499999999999</v>
      </c>
      <c r="F18" s="19">
        <f>(($F$27*$F$26)/1000)</f>
        <v>25.419</v>
      </c>
      <c r="G18" s="19">
        <f>(($G$27*$G$26)/1000)</f>
        <v>23.870999999999999</v>
      </c>
      <c r="H18" s="19">
        <f>(($H$27*$H$26)/1000)</f>
        <v>15.914</v>
      </c>
      <c r="I18" s="19">
        <f>(($I$27*$I$26)/1000)</f>
        <v>14.76</v>
      </c>
      <c r="J18" s="19">
        <f>(($J$27*$J$26)/1000)</f>
        <v>9.0719999999999992</v>
      </c>
      <c r="K18" s="19">
        <f>(($K$27*$K$26)/1000)</f>
        <v>21.337499999999999</v>
      </c>
      <c r="L18" s="19">
        <f>(($L$27*$L$26)/1000)</f>
        <v>26.306999999999999</v>
      </c>
      <c r="M18" s="19">
        <f>(($M$27*$M$26)/1000)</f>
        <v>31.609000000000002</v>
      </c>
      <c r="N18" s="19">
        <f>(($N$27*$N$26)/1000)</f>
        <v>19.98</v>
      </c>
      <c r="O18" s="19"/>
      <c r="P18" s="19">
        <f>(($P$27*$P$26)/1000)</f>
        <v>16.987500000000001</v>
      </c>
      <c r="Q18" s="19">
        <f>(($Q$27*$Q$26)/1000)</f>
        <v>30.9375</v>
      </c>
      <c r="R18" s="19">
        <f>(($R$27*$R$26)/1000)</f>
        <v>34.113999999999997</v>
      </c>
      <c r="S18" s="19">
        <f>(($S$27*$S$26)/1000)</f>
        <v>15.8775</v>
      </c>
      <c r="T18" s="19"/>
      <c r="U18" s="20"/>
      <c r="V18" s="98">
        <f>SUM(B18:U18)</f>
        <v>366.37549999999999</v>
      </c>
      <c r="X18" s="2"/>
      <c r="Y18" s="15"/>
    </row>
    <row r="19" spans="1:32" ht="39.950000000000003" customHeight="1" x14ac:dyDescent="0.25">
      <c r="A19" s="96" t="s">
        <v>24</v>
      </c>
      <c r="B19" s="61">
        <f t="shared" ref="B19:B24" si="0">(($B$27*$B$26)/1000)</f>
        <v>8.4375</v>
      </c>
      <c r="C19" s="19">
        <f t="shared" ref="C19:C24" si="1">(($C$27*$C$26)/1000)</f>
        <v>12.5625</v>
      </c>
      <c r="D19" s="19">
        <f t="shared" ref="D19:D24" si="2">(($D$27*$D$26)/1000)</f>
        <v>29.602</v>
      </c>
      <c r="E19" s="19">
        <f t="shared" ref="E19:E24" si="3">(($E$27*$E$26)/1000)</f>
        <v>29.587499999999999</v>
      </c>
      <c r="F19" s="19">
        <f t="shared" ref="F19:F24" si="4">(($F$27*$F$26)/1000)</f>
        <v>25.419</v>
      </c>
      <c r="G19" s="19">
        <f t="shared" ref="G19:G24" si="5">(($G$27*$G$26)/1000)</f>
        <v>23.870999999999999</v>
      </c>
      <c r="H19" s="19">
        <f t="shared" ref="H19:H24" si="6">(($H$27*$H$26)/1000)</f>
        <v>15.914</v>
      </c>
      <c r="I19" s="19">
        <f t="shared" ref="I19:I24" si="7">(($I$27*$I$26)/1000)</f>
        <v>14.76</v>
      </c>
      <c r="J19" s="19">
        <f t="shared" ref="J19:J24" si="8">(($J$27*$J$26)/1000)</f>
        <v>9.0719999999999992</v>
      </c>
      <c r="K19" s="19">
        <f t="shared" ref="K19:K24" si="9">(($K$27*$K$26)/1000)</f>
        <v>21.337499999999999</v>
      </c>
      <c r="L19" s="19">
        <f t="shared" ref="L19:L24" si="10">(($L$27*$L$26)/1000)</f>
        <v>26.306999999999999</v>
      </c>
      <c r="M19" s="19">
        <f t="shared" ref="M19:M24" si="11">(($M$27*$M$26)/1000)</f>
        <v>31.609000000000002</v>
      </c>
      <c r="N19" s="19">
        <f t="shared" ref="N19:N24" si="12">(($N$27*$N$26)/1000)</f>
        <v>19.98</v>
      </c>
      <c r="O19" s="19"/>
      <c r="P19" s="19">
        <f t="shared" ref="P19:P24" si="13">(($P$27*$P$26)/1000)</f>
        <v>16.987500000000001</v>
      </c>
      <c r="Q19" s="19">
        <f t="shared" ref="Q19:Q24" si="14">(($Q$27*$Q$26)/1000)</f>
        <v>30.9375</v>
      </c>
      <c r="R19" s="19">
        <f t="shared" ref="R19:R24" si="15">(($R$27*$R$26)/1000)</f>
        <v>34.113999999999997</v>
      </c>
      <c r="S19" s="19">
        <f t="shared" ref="S19:S24" si="16">(($S$27*$S$26)/1000)</f>
        <v>15.8775</v>
      </c>
      <c r="T19" s="19"/>
      <c r="U19" s="20"/>
      <c r="V19" s="98">
        <f>SUM(B19:U19)</f>
        <v>366.37549999999999</v>
      </c>
      <c r="X19" s="2"/>
      <c r="Y19" s="15"/>
    </row>
    <row r="20" spans="1:32" ht="39.75" customHeight="1" x14ac:dyDescent="0.25">
      <c r="A20" s="96" t="s">
        <v>20</v>
      </c>
      <c r="B20" s="61">
        <f t="shared" si="0"/>
        <v>8.4375</v>
      </c>
      <c r="C20" s="19">
        <f t="shared" si="1"/>
        <v>12.5625</v>
      </c>
      <c r="D20" s="19">
        <f t="shared" si="2"/>
        <v>29.602</v>
      </c>
      <c r="E20" s="19">
        <f t="shared" si="3"/>
        <v>29.587499999999999</v>
      </c>
      <c r="F20" s="19">
        <f t="shared" si="4"/>
        <v>25.419</v>
      </c>
      <c r="G20" s="19">
        <f t="shared" si="5"/>
        <v>23.870999999999999</v>
      </c>
      <c r="H20" s="19">
        <f t="shared" si="6"/>
        <v>15.914</v>
      </c>
      <c r="I20" s="19">
        <f t="shared" si="7"/>
        <v>14.76</v>
      </c>
      <c r="J20" s="19">
        <f t="shared" si="8"/>
        <v>9.0719999999999992</v>
      </c>
      <c r="K20" s="19">
        <f t="shared" si="9"/>
        <v>21.337499999999999</v>
      </c>
      <c r="L20" s="19">
        <f t="shared" si="10"/>
        <v>26.306999999999999</v>
      </c>
      <c r="M20" s="19">
        <f t="shared" si="11"/>
        <v>31.609000000000002</v>
      </c>
      <c r="N20" s="19">
        <f t="shared" si="12"/>
        <v>19.98</v>
      </c>
      <c r="O20" s="19"/>
      <c r="P20" s="19">
        <f t="shared" si="13"/>
        <v>16.987500000000001</v>
      </c>
      <c r="Q20" s="19">
        <f t="shared" si="14"/>
        <v>30.9375</v>
      </c>
      <c r="R20" s="19">
        <f t="shared" si="15"/>
        <v>34.113999999999997</v>
      </c>
      <c r="S20" s="19">
        <f t="shared" si="16"/>
        <v>15.8775</v>
      </c>
      <c r="T20" s="19"/>
      <c r="U20" s="20"/>
      <c r="V20" s="98">
        <f>SUM(B20:U20)</f>
        <v>366.37549999999999</v>
      </c>
      <c r="X20" s="2"/>
      <c r="Y20" s="15"/>
    </row>
    <row r="21" spans="1:32" ht="39.950000000000003" customHeight="1" x14ac:dyDescent="0.25">
      <c r="A21" s="96" t="s">
        <v>28</v>
      </c>
      <c r="B21" s="61">
        <f t="shared" si="0"/>
        <v>8.4375</v>
      </c>
      <c r="C21" s="19">
        <f t="shared" si="1"/>
        <v>12.5625</v>
      </c>
      <c r="D21" s="19">
        <f t="shared" si="2"/>
        <v>29.602</v>
      </c>
      <c r="E21" s="19">
        <f t="shared" si="3"/>
        <v>29.587499999999999</v>
      </c>
      <c r="F21" s="19">
        <f t="shared" si="4"/>
        <v>25.419</v>
      </c>
      <c r="G21" s="19">
        <f t="shared" si="5"/>
        <v>23.870999999999999</v>
      </c>
      <c r="H21" s="19">
        <f t="shared" si="6"/>
        <v>15.914</v>
      </c>
      <c r="I21" s="19">
        <f t="shared" si="7"/>
        <v>14.76</v>
      </c>
      <c r="J21" s="19">
        <f t="shared" si="8"/>
        <v>9.0719999999999992</v>
      </c>
      <c r="K21" s="19">
        <f t="shared" si="9"/>
        <v>21.337499999999999</v>
      </c>
      <c r="L21" s="19">
        <f t="shared" si="10"/>
        <v>26.306999999999999</v>
      </c>
      <c r="M21" s="19">
        <f t="shared" si="11"/>
        <v>31.609000000000002</v>
      </c>
      <c r="N21" s="19">
        <f t="shared" si="12"/>
        <v>19.98</v>
      </c>
      <c r="O21" s="19"/>
      <c r="P21" s="19">
        <f t="shared" si="13"/>
        <v>16.987500000000001</v>
      </c>
      <c r="Q21" s="19">
        <f t="shared" si="14"/>
        <v>30.9375</v>
      </c>
      <c r="R21" s="19">
        <f t="shared" si="15"/>
        <v>34.113999999999997</v>
      </c>
      <c r="S21" s="19">
        <f t="shared" si="16"/>
        <v>15.8775</v>
      </c>
      <c r="T21" s="19"/>
      <c r="U21" s="20"/>
      <c r="V21" s="98">
        <f>SUM(B21:U21)</f>
        <v>366.37549999999999</v>
      </c>
      <c r="X21" s="2"/>
      <c r="Y21" s="15"/>
    </row>
    <row r="22" spans="1:32" ht="39.950000000000003" customHeight="1" x14ac:dyDescent="0.25">
      <c r="A22" s="96" t="s">
        <v>21</v>
      </c>
      <c r="B22" s="61">
        <f t="shared" si="0"/>
        <v>8.4375</v>
      </c>
      <c r="C22" s="19">
        <f t="shared" si="1"/>
        <v>12.5625</v>
      </c>
      <c r="D22" s="19">
        <f t="shared" si="2"/>
        <v>29.602</v>
      </c>
      <c r="E22" s="19">
        <f t="shared" si="3"/>
        <v>29.587499999999999</v>
      </c>
      <c r="F22" s="19">
        <f t="shared" si="4"/>
        <v>25.419</v>
      </c>
      <c r="G22" s="19">
        <f t="shared" si="5"/>
        <v>23.870999999999999</v>
      </c>
      <c r="H22" s="19">
        <f t="shared" si="6"/>
        <v>15.914</v>
      </c>
      <c r="I22" s="19">
        <f t="shared" si="7"/>
        <v>14.76</v>
      </c>
      <c r="J22" s="19">
        <f t="shared" si="8"/>
        <v>9.0719999999999992</v>
      </c>
      <c r="K22" s="19">
        <f t="shared" si="9"/>
        <v>21.337499999999999</v>
      </c>
      <c r="L22" s="19">
        <f t="shared" si="10"/>
        <v>26.306999999999999</v>
      </c>
      <c r="M22" s="19">
        <f t="shared" si="11"/>
        <v>31.609000000000002</v>
      </c>
      <c r="N22" s="19">
        <f t="shared" si="12"/>
        <v>19.98</v>
      </c>
      <c r="O22" s="19"/>
      <c r="P22" s="19">
        <f t="shared" si="13"/>
        <v>16.987500000000001</v>
      </c>
      <c r="Q22" s="19">
        <f t="shared" si="14"/>
        <v>30.9375</v>
      </c>
      <c r="R22" s="19">
        <f t="shared" si="15"/>
        <v>34.113999999999997</v>
      </c>
      <c r="S22" s="19">
        <f t="shared" si="16"/>
        <v>15.8775</v>
      </c>
      <c r="T22" s="19"/>
      <c r="U22" s="20"/>
      <c r="V22" s="98">
        <f>SUM(B22:T22)</f>
        <v>366.37549999999999</v>
      </c>
      <c r="X22" s="2"/>
      <c r="Y22" s="15"/>
    </row>
    <row r="23" spans="1:32" ht="39.950000000000003" customHeight="1" x14ac:dyDescent="0.25">
      <c r="A23" s="96" t="s">
        <v>22</v>
      </c>
      <c r="B23" s="61">
        <f t="shared" si="0"/>
        <v>8.4375</v>
      </c>
      <c r="C23" s="19">
        <f t="shared" si="1"/>
        <v>12.5625</v>
      </c>
      <c r="D23" s="19">
        <f t="shared" si="2"/>
        <v>29.602</v>
      </c>
      <c r="E23" s="19">
        <f t="shared" si="3"/>
        <v>29.587499999999999</v>
      </c>
      <c r="F23" s="19">
        <f t="shared" si="4"/>
        <v>25.419</v>
      </c>
      <c r="G23" s="19">
        <f t="shared" si="5"/>
        <v>23.870999999999999</v>
      </c>
      <c r="H23" s="19">
        <f t="shared" si="6"/>
        <v>15.914</v>
      </c>
      <c r="I23" s="19">
        <f t="shared" si="7"/>
        <v>14.76</v>
      </c>
      <c r="J23" s="19">
        <f t="shared" si="8"/>
        <v>9.0719999999999992</v>
      </c>
      <c r="K23" s="19">
        <f t="shared" si="9"/>
        <v>21.337499999999999</v>
      </c>
      <c r="L23" s="19">
        <f t="shared" si="10"/>
        <v>26.306999999999999</v>
      </c>
      <c r="M23" s="19">
        <f t="shared" si="11"/>
        <v>31.609000000000002</v>
      </c>
      <c r="N23" s="19">
        <f t="shared" si="12"/>
        <v>19.98</v>
      </c>
      <c r="O23" s="19"/>
      <c r="P23" s="19">
        <f t="shared" si="13"/>
        <v>16.987500000000001</v>
      </c>
      <c r="Q23" s="19">
        <f t="shared" si="14"/>
        <v>30.9375</v>
      </c>
      <c r="R23" s="19">
        <f t="shared" si="15"/>
        <v>34.113999999999997</v>
      </c>
      <c r="S23" s="19">
        <f t="shared" si="16"/>
        <v>15.8775</v>
      </c>
      <c r="T23" s="19"/>
      <c r="U23" s="20"/>
      <c r="V23" s="98">
        <f>SUM(B23:U23)</f>
        <v>366.37549999999999</v>
      </c>
      <c r="X23" s="2"/>
      <c r="Y23" s="15"/>
    </row>
    <row r="24" spans="1:32" ht="39.950000000000003" customHeight="1" thickBot="1" x14ac:dyDescent="0.3">
      <c r="A24" s="96" t="s">
        <v>23</v>
      </c>
      <c r="B24" s="61">
        <f t="shared" si="0"/>
        <v>8.4375</v>
      </c>
      <c r="C24" s="19">
        <f t="shared" si="1"/>
        <v>12.5625</v>
      </c>
      <c r="D24" s="19">
        <f t="shared" si="2"/>
        <v>29.602</v>
      </c>
      <c r="E24" s="19">
        <f t="shared" si="3"/>
        <v>29.587499999999999</v>
      </c>
      <c r="F24" s="19">
        <f t="shared" si="4"/>
        <v>25.419</v>
      </c>
      <c r="G24" s="19">
        <f t="shared" si="5"/>
        <v>23.870999999999999</v>
      </c>
      <c r="H24" s="19">
        <f t="shared" si="6"/>
        <v>15.914</v>
      </c>
      <c r="I24" s="19">
        <f t="shared" si="7"/>
        <v>14.76</v>
      </c>
      <c r="J24" s="19">
        <f t="shared" si="8"/>
        <v>9.0719999999999992</v>
      </c>
      <c r="K24" s="19">
        <f t="shared" si="9"/>
        <v>21.337499999999999</v>
      </c>
      <c r="L24" s="19">
        <f t="shared" si="10"/>
        <v>26.306999999999999</v>
      </c>
      <c r="M24" s="19">
        <f t="shared" si="11"/>
        <v>31.609000000000002</v>
      </c>
      <c r="N24" s="19">
        <f t="shared" si="12"/>
        <v>19.98</v>
      </c>
      <c r="O24" s="19"/>
      <c r="P24" s="19">
        <f t="shared" si="13"/>
        <v>16.987500000000001</v>
      </c>
      <c r="Q24" s="19">
        <f t="shared" si="14"/>
        <v>30.9375</v>
      </c>
      <c r="R24" s="19">
        <f t="shared" si="15"/>
        <v>34.113999999999997</v>
      </c>
      <c r="S24" s="19">
        <f t="shared" si="16"/>
        <v>15.8775</v>
      </c>
      <c r="T24" s="19"/>
      <c r="U24" s="123"/>
      <c r="V24" s="98">
        <f>SUM(B24:U24)</f>
        <v>366.37549999999999</v>
      </c>
      <c r="X24" s="2"/>
    </row>
    <row r="25" spans="1:32" ht="41.45" customHeight="1" x14ac:dyDescent="0.25">
      <c r="A25" s="118" t="s">
        <v>9</v>
      </c>
      <c r="B25" s="119">
        <f t="shared" ref="B25:I25" si="17">SUM(B18:B24)</f>
        <v>59.0625</v>
      </c>
      <c r="C25" s="120">
        <f t="shared" si="17"/>
        <v>87.9375</v>
      </c>
      <c r="D25" s="120">
        <f t="shared" si="17"/>
        <v>207.214</v>
      </c>
      <c r="E25" s="120">
        <f t="shared" si="17"/>
        <v>207.11250000000001</v>
      </c>
      <c r="F25" s="120">
        <f t="shared" si="17"/>
        <v>177.93300000000002</v>
      </c>
      <c r="G25" s="120">
        <f>SUM(G18:G24)</f>
        <v>167.09700000000001</v>
      </c>
      <c r="H25" s="120">
        <f t="shared" si="17"/>
        <v>111.398</v>
      </c>
      <c r="I25" s="120">
        <f t="shared" si="17"/>
        <v>103.32000000000001</v>
      </c>
      <c r="J25" s="121">
        <f>SUM(J18:J24)</f>
        <v>63.504000000000005</v>
      </c>
      <c r="K25" s="122">
        <f>SUM(K18:K24)</f>
        <v>149.36250000000001</v>
      </c>
      <c r="L25" s="120">
        <f>SUM(L18:L24)</f>
        <v>184.14899999999997</v>
      </c>
      <c r="M25" s="120">
        <f>SUM(M18:M24)</f>
        <v>221.26300000000003</v>
      </c>
      <c r="N25" s="120">
        <f>SUM(N18:N24)</f>
        <v>139.86000000000001</v>
      </c>
      <c r="O25" s="121"/>
      <c r="P25" s="124">
        <f>SUM(P18:P24)</f>
        <v>118.91249999999999</v>
      </c>
      <c r="Q25" s="125">
        <f>SUM(Q18:Q24)</f>
        <v>216.5625</v>
      </c>
      <c r="R25" s="125">
        <f>SUM(R18:R24)</f>
        <v>238.798</v>
      </c>
      <c r="S25" s="125">
        <f>SUM(S18:S24)</f>
        <v>111.1425</v>
      </c>
      <c r="T25" s="125"/>
      <c r="U25" s="121"/>
      <c r="V25" s="98">
        <f>SUM(B25:U25)</f>
        <v>2564.6284999999998</v>
      </c>
    </row>
    <row r="26" spans="1:32" s="2" customFormat="1" ht="36.75" customHeight="1" x14ac:dyDescent="0.25">
      <c r="A26" s="70" t="s">
        <v>11</v>
      </c>
      <c r="B26" s="63">
        <v>37.5</v>
      </c>
      <c r="C26" s="63">
        <v>37.5</v>
      </c>
      <c r="D26" s="63">
        <v>38</v>
      </c>
      <c r="E26" s="63">
        <v>37.5</v>
      </c>
      <c r="F26" s="63">
        <v>37</v>
      </c>
      <c r="G26" s="63">
        <v>36.5</v>
      </c>
      <c r="H26" s="63">
        <v>36.5</v>
      </c>
      <c r="I26" s="63">
        <v>36</v>
      </c>
      <c r="J26" s="63">
        <v>36</v>
      </c>
      <c r="K26" s="63">
        <v>37.5</v>
      </c>
      <c r="L26" s="63">
        <v>37</v>
      </c>
      <c r="M26" s="63">
        <v>36.5</v>
      </c>
      <c r="N26" s="63">
        <v>36</v>
      </c>
      <c r="O26" s="63"/>
      <c r="P26" s="63">
        <v>37.5</v>
      </c>
      <c r="Q26" s="63">
        <v>37.5</v>
      </c>
      <c r="R26" s="63">
        <v>37</v>
      </c>
      <c r="S26" s="63">
        <v>36.5</v>
      </c>
      <c r="T26" s="63"/>
      <c r="U26" s="25"/>
      <c r="V26" s="99">
        <f>((V25/V27)/7)*1000</f>
        <v>36.996415227708766</v>
      </c>
    </row>
    <row r="27" spans="1:32" s="2" customFormat="1" ht="33" customHeight="1" x14ac:dyDescent="0.25">
      <c r="A27" s="71" t="s">
        <v>12</v>
      </c>
      <c r="B27" s="64">
        <v>225</v>
      </c>
      <c r="C27" s="27">
        <v>335</v>
      </c>
      <c r="D27" s="27">
        <v>779</v>
      </c>
      <c r="E27" s="27">
        <v>789</v>
      </c>
      <c r="F27" s="27">
        <v>687</v>
      </c>
      <c r="G27" s="27">
        <v>654</v>
      </c>
      <c r="H27" s="27">
        <v>436</v>
      </c>
      <c r="I27" s="27">
        <v>410</v>
      </c>
      <c r="J27" s="28">
        <v>252</v>
      </c>
      <c r="K27" s="26">
        <v>569</v>
      </c>
      <c r="L27" s="27">
        <v>711</v>
      </c>
      <c r="M27" s="27">
        <v>866</v>
      </c>
      <c r="N27" s="27">
        <v>555</v>
      </c>
      <c r="O27" s="28"/>
      <c r="P27" s="26">
        <v>453</v>
      </c>
      <c r="Q27" s="27">
        <v>825</v>
      </c>
      <c r="R27" s="27">
        <v>922</v>
      </c>
      <c r="S27" s="27">
        <v>435</v>
      </c>
      <c r="T27" s="27"/>
      <c r="U27" s="28"/>
      <c r="V27" s="29">
        <f>SUM(B27,C27,D27,E27,F27,G27,H27,I27,J27,K27,L27,M27,N27,O27,P27,Q27,R27,S27,T27)</f>
        <v>9903</v>
      </c>
      <c r="W27" s="2">
        <f>((V25*1000)/V27)/7</f>
        <v>36.996415227708773</v>
      </c>
    </row>
    <row r="28" spans="1:32" s="2" customFormat="1" ht="33" customHeight="1" x14ac:dyDescent="0.25">
      <c r="A28" s="72" t="s">
        <v>13</v>
      </c>
      <c r="B28" s="65">
        <f>(B27*B26)/1000</f>
        <v>8.4375</v>
      </c>
      <c r="C28" s="31">
        <f>(C27*C26)/1000</f>
        <v>12.5625</v>
      </c>
      <c r="D28" s="31">
        <f>(D27*D26)/1000</f>
        <v>29.602</v>
      </c>
      <c r="E28" s="31">
        <f>(E27*E26)/1000</f>
        <v>29.587499999999999</v>
      </c>
      <c r="F28" s="31">
        <f>(F27*F26)/1000</f>
        <v>25.419</v>
      </c>
      <c r="G28" s="31">
        <f t="shared" ref="G28:S28" si="18">(G27*G26)/1000</f>
        <v>23.870999999999999</v>
      </c>
      <c r="H28" s="31">
        <f t="shared" si="18"/>
        <v>15.914</v>
      </c>
      <c r="I28" s="31">
        <f t="shared" si="18"/>
        <v>14.76</v>
      </c>
      <c r="J28" s="32">
        <f t="shared" si="18"/>
        <v>9.0719999999999992</v>
      </c>
      <c r="K28" s="30">
        <f t="shared" si="18"/>
        <v>21.337499999999999</v>
      </c>
      <c r="L28" s="31">
        <f t="shared" si="18"/>
        <v>26.306999999999999</v>
      </c>
      <c r="M28" s="31">
        <f t="shared" si="18"/>
        <v>31.609000000000002</v>
      </c>
      <c r="N28" s="31">
        <f t="shared" si="18"/>
        <v>19.98</v>
      </c>
      <c r="O28" s="32"/>
      <c r="P28" s="30">
        <f t="shared" si="18"/>
        <v>16.987500000000001</v>
      </c>
      <c r="Q28" s="31">
        <f t="shared" si="18"/>
        <v>30.9375</v>
      </c>
      <c r="R28" s="31">
        <f t="shared" si="18"/>
        <v>34.113999999999997</v>
      </c>
      <c r="S28" s="31">
        <f t="shared" si="18"/>
        <v>15.8775</v>
      </c>
      <c r="T28" s="31"/>
      <c r="U28" s="32"/>
      <c r="V28" s="33"/>
    </row>
    <row r="29" spans="1:32" ht="33.75" customHeight="1" x14ac:dyDescent="0.25">
      <c r="A29" s="73" t="s">
        <v>14</v>
      </c>
      <c r="B29" s="66">
        <f t="shared" ref="B29:J29" si="19">((B27*B26)*7)/1000</f>
        <v>59.0625</v>
      </c>
      <c r="C29" s="35">
        <f t="shared" si="19"/>
        <v>87.9375</v>
      </c>
      <c r="D29" s="35">
        <f t="shared" si="19"/>
        <v>207.214</v>
      </c>
      <c r="E29" s="35">
        <f t="shared" si="19"/>
        <v>207.11250000000001</v>
      </c>
      <c r="F29" s="35">
        <f t="shared" si="19"/>
        <v>177.93299999999999</v>
      </c>
      <c r="G29" s="35">
        <f t="shared" si="19"/>
        <v>167.09700000000001</v>
      </c>
      <c r="H29" s="35">
        <f t="shared" si="19"/>
        <v>111.398</v>
      </c>
      <c r="I29" s="35">
        <f t="shared" si="19"/>
        <v>103.32</v>
      </c>
      <c r="J29" s="68">
        <f t="shared" si="19"/>
        <v>63.503999999999998</v>
      </c>
      <c r="K29" s="34">
        <f t="shared" ref="K29:S29" si="20">((K27*K26)*7)/1000</f>
        <v>149.36250000000001</v>
      </c>
      <c r="L29" s="35">
        <f t="shared" si="20"/>
        <v>184.149</v>
      </c>
      <c r="M29" s="35">
        <f t="shared" si="20"/>
        <v>221.26300000000001</v>
      </c>
      <c r="N29" s="35">
        <f t="shared" si="20"/>
        <v>139.86000000000001</v>
      </c>
      <c r="O29" s="68"/>
      <c r="P29" s="34">
        <f t="shared" si="20"/>
        <v>118.91249999999999</v>
      </c>
      <c r="Q29" s="35">
        <f t="shared" si="20"/>
        <v>216.5625</v>
      </c>
      <c r="R29" s="35">
        <f t="shared" si="20"/>
        <v>238.798</v>
      </c>
      <c r="S29" s="35">
        <f t="shared" si="20"/>
        <v>111.1425</v>
      </c>
      <c r="T29" s="35"/>
      <c r="U29" s="116"/>
      <c r="V29" s="36"/>
    </row>
    <row r="30" spans="1:32" ht="33.75" customHeight="1" thickBot="1" x14ac:dyDescent="0.3">
      <c r="A30" s="74" t="s">
        <v>15</v>
      </c>
      <c r="B30" s="67">
        <f t="shared" ref="B30:J30" si="21">+(B25/B27)/7*1000</f>
        <v>37.5</v>
      </c>
      <c r="C30" s="38">
        <f t="shared" si="21"/>
        <v>37.5</v>
      </c>
      <c r="D30" s="38">
        <f t="shared" si="21"/>
        <v>38</v>
      </c>
      <c r="E30" s="38">
        <f t="shared" si="21"/>
        <v>37.5</v>
      </c>
      <c r="F30" s="38">
        <f t="shared" si="21"/>
        <v>37</v>
      </c>
      <c r="G30" s="38">
        <f t="shared" si="21"/>
        <v>36.5</v>
      </c>
      <c r="H30" s="38">
        <f t="shared" si="21"/>
        <v>36.5</v>
      </c>
      <c r="I30" s="38">
        <f t="shared" si="21"/>
        <v>36</v>
      </c>
      <c r="J30" s="39">
        <f t="shared" si="21"/>
        <v>36</v>
      </c>
      <c r="K30" s="37">
        <f t="shared" ref="K30:S30" si="22">+(K25/K27)/7*1000</f>
        <v>37.5</v>
      </c>
      <c r="L30" s="38">
        <f t="shared" si="22"/>
        <v>36.999999999999993</v>
      </c>
      <c r="M30" s="38">
        <f t="shared" si="22"/>
        <v>36.500000000000014</v>
      </c>
      <c r="N30" s="38">
        <f t="shared" si="22"/>
        <v>36</v>
      </c>
      <c r="O30" s="39"/>
      <c r="P30" s="37">
        <f t="shared" si="22"/>
        <v>37.5</v>
      </c>
      <c r="Q30" s="38">
        <f t="shared" si="22"/>
        <v>37.5</v>
      </c>
      <c r="R30" s="38">
        <f t="shared" si="22"/>
        <v>37</v>
      </c>
      <c r="S30" s="38">
        <f t="shared" si="22"/>
        <v>36.5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23" t="s">
        <v>17</v>
      </c>
      <c r="C36" s="1024"/>
      <c r="D36" s="1024"/>
      <c r="E36" s="1024"/>
      <c r="F36" s="1024"/>
      <c r="G36" s="1024"/>
      <c r="H36" s="75"/>
      <c r="L36" s="44"/>
      <c r="M36" s="88" t="s">
        <v>18</v>
      </c>
      <c r="N36" s="1016" t="s">
        <v>17</v>
      </c>
      <c r="O36" s="1016"/>
      <c r="P36" s="1016"/>
      <c r="Q36" s="1016"/>
      <c r="R36" s="1017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27"/>
      <c r="L37" s="1027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/>
      <c r="H38" s="13"/>
      <c r="I38" s="47"/>
      <c r="J38" s="47"/>
      <c r="K38" s="134"/>
      <c r="L38" s="135"/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32</v>
      </c>
      <c r="B39" s="18">
        <f>(($B$48*$B$47)/1000)</f>
        <v>13.051500000000001</v>
      </c>
      <c r="C39" s="61">
        <f>(($C$48*$C$47)/1000)</f>
        <v>21.598500000000001</v>
      </c>
      <c r="D39" s="61">
        <f>(($D$48*$D$47)/1000)</f>
        <v>34.124000000000002</v>
      </c>
      <c r="E39" s="61">
        <f>(($E$48*$E$47)/1000)</f>
        <v>22.35</v>
      </c>
      <c r="F39" s="61">
        <f t="shared" ref="F39:F45" si="23">(($F$48*$F$47)/1000)</f>
        <v>22.087499999999999</v>
      </c>
      <c r="G39" s="94"/>
      <c r="H39" s="127">
        <f t="shared" ref="H39:H46" si="24">SUM(B39:G39)</f>
        <v>113.2115</v>
      </c>
      <c r="I39" s="49"/>
      <c r="J39" s="49"/>
      <c r="K39" s="134"/>
      <c r="L39" s="135"/>
      <c r="M39" s="96" t="s">
        <v>51</v>
      </c>
      <c r="N39" s="61">
        <f t="shared" ref="N39:N45" si="25">(($N$48*T39)/1000)</f>
        <v>288.80346000000003</v>
      </c>
      <c r="O39" s="61"/>
      <c r="P39" s="61"/>
      <c r="Q39" s="61"/>
      <c r="R39" s="61"/>
      <c r="S39" s="77">
        <f t="shared" ref="S39:S46" si="26">SUM(N39:R39)</f>
        <v>288.80346000000003</v>
      </c>
      <c r="T39" s="2">
        <v>110.78</v>
      </c>
      <c r="U39" s="49"/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7">(($B$48*$B$47)/1000)</f>
        <v>13.051500000000001</v>
      </c>
      <c r="C40" s="61">
        <f t="shared" ref="C40:C45" si="28">(($C$48*$C$47)/1000)</f>
        <v>21.598500000000001</v>
      </c>
      <c r="D40" s="61">
        <f t="shared" ref="D40:D45" si="29">(($D$48*$D$47)/1000)</f>
        <v>34.124000000000002</v>
      </c>
      <c r="E40" s="61">
        <f t="shared" ref="E40:E45" si="30">(($E$48*$E$47)/1000)</f>
        <v>22.35</v>
      </c>
      <c r="F40" s="61">
        <f t="shared" si="23"/>
        <v>22.087499999999999</v>
      </c>
      <c r="G40" s="94"/>
      <c r="H40" s="127">
        <f t="shared" si="24"/>
        <v>113.2115</v>
      </c>
      <c r="I40" s="49"/>
      <c r="J40" s="49"/>
      <c r="K40" s="134"/>
      <c r="L40" s="135"/>
      <c r="M40" s="96" t="s">
        <v>24</v>
      </c>
      <c r="N40" s="61">
        <f t="shared" si="25"/>
        <v>288.80346000000003</v>
      </c>
      <c r="O40" s="61"/>
      <c r="P40" s="61"/>
      <c r="Q40" s="61"/>
      <c r="R40" s="61"/>
      <c r="S40" s="77">
        <f t="shared" si="26"/>
        <v>288.80346000000003</v>
      </c>
      <c r="T40" s="2">
        <v>110.78</v>
      </c>
      <c r="U40" s="49"/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7"/>
        <v>13.051500000000001</v>
      </c>
      <c r="C41" s="61">
        <f t="shared" si="28"/>
        <v>21.598500000000001</v>
      </c>
      <c r="D41" s="61">
        <f t="shared" si="29"/>
        <v>34.124000000000002</v>
      </c>
      <c r="E41" s="61">
        <f t="shared" si="30"/>
        <v>22.35</v>
      </c>
      <c r="F41" s="61">
        <f t="shared" si="23"/>
        <v>22.087499999999999</v>
      </c>
      <c r="G41" s="94"/>
      <c r="H41" s="127">
        <f t="shared" si="24"/>
        <v>113.2115</v>
      </c>
      <c r="I41" s="49"/>
      <c r="J41" s="49"/>
      <c r="K41" s="134"/>
      <c r="L41" s="135"/>
      <c r="M41" s="96" t="s">
        <v>20</v>
      </c>
      <c r="N41" s="61">
        <f t="shared" si="25"/>
        <v>291.98399999999998</v>
      </c>
      <c r="O41" s="61"/>
      <c r="P41" s="61"/>
      <c r="Q41" s="61"/>
      <c r="R41" s="19"/>
      <c r="S41" s="77">
        <f t="shared" si="26"/>
        <v>291.98399999999998</v>
      </c>
      <c r="T41" s="90">
        <v>112</v>
      </c>
      <c r="U41" s="137">
        <v>618.44000000000005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7"/>
        <v>13.051500000000001</v>
      </c>
      <c r="C42" s="61">
        <f t="shared" si="28"/>
        <v>21.598500000000001</v>
      </c>
      <c r="D42" s="61">
        <f t="shared" si="29"/>
        <v>34.124000000000002</v>
      </c>
      <c r="E42" s="61">
        <f t="shared" si="30"/>
        <v>22.35</v>
      </c>
      <c r="F42" s="61">
        <f t="shared" si="23"/>
        <v>22.087499999999999</v>
      </c>
      <c r="G42" s="94"/>
      <c r="H42" s="127">
        <f t="shared" si="24"/>
        <v>113.2115</v>
      </c>
      <c r="I42" s="49"/>
      <c r="J42" s="49"/>
      <c r="K42" s="134"/>
      <c r="L42" s="135"/>
      <c r="M42" s="96" t="s">
        <v>28</v>
      </c>
      <c r="N42" s="61">
        <f t="shared" si="25"/>
        <v>305.01900000000001</v>
      </c>
      <c r="O42" s="61"/>
      <c r="P42" s="61"/>
      <c r="Q42" s="61"/>
      <c r="R42" s="61"/>
      <c r="S42" s="77">
        <f t="shared" si="26"/>
        <v>305.01900000000001</v>
      </c>
      <c r="T42" s="90">
        <v>117</v>
      </c>
      <c r="U42" s="137"/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7"/>
        <v>13.051500000000001</v>
      </c>
      <c r="C43" s="61">
        <f t="shared" si="28"/>
        <v>21.598500000000001</v>
      </c>
      <c r="D43" s="61">
        <f t="shared" si="29"/>
        <v>34.124000000000002</v>
      </c>
      <c r="E43" s="61">
        <f t="shared" si="30"/>
        <v>22.35</v>
      </c>
      <c r="F43" s="61">
        <f t="shared" si="23"/>
        <v>22.087499999999999</v>
      </c>
      <c r="G43" s="94"/>
      <c r="H43" s="127">
        <f t="shared" si="24"/>
        <v>113.2115</v>
      </c>
      <c r="I43" s="49"/>
      <c r="J43" s="49"/>
      <c r="K43" s="134"/>
      <c r="L43" s="135"/>
      <c r="M43" s="96" t="s">
        <v>21</v>
      </c>
      <c r="N43" s="61">
        <f t="shared" si="25"/>
        <v>318.05399999999997</v>
      </c>
      <c r="O43" s="61"/>
      <c r="P43" s="61"/>
      <c r="Q43" s="61"/>
      <c r="R43" s="61"/>
      <c r="S43" s="77">
        <f t="shared" si="26"/>
        <v>318.05399999999997</v>
      </c>
      <c r="T43" s="90">
        <v>122</v>
      </c>
      <c r="U43" s="137"/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7"/>
        <v>13.051500000000001</v>
      </c>
      <c r="C44" s="61">
        <f t="shared" si="28"/>
        <v>21.598500000000001</v>
      </c>
      <c r="D44" s="61">
        <f t="shared" si="29"/>
        <v>34.124000000000002</v>
      </c>
      <c r="E44" s="61">
        <f t="shared" si="30"/>
        <v>22.35</v>
      </c>
      <c r="F44" s="61">
        <f t="shared" si="23"/>
        <v>22.087499999999999</v>
      </c>
      <c r="G44" s="94"/>
      <c r="H44" s="127">
        <f t="shared" si="24"/>
        <v>113.2115</v>
      </c>
      <c r="I44" s="49"/>
      <c r="J44" s="49"/>
      <c r="K44" s="134"/>
      <c r="L44" s="135"/>
      <c r="M44" s="96" t="s">
        <v>22</v>
      </c>
      <c r="N44" s="61">
        <f t="shared" si="25"/>
        <v>337.60649999999998</v>
      </c>
      <c r="O44" s="61"/>
      <c r="P44" s="61"/>
      <c r="Q44" s="61"/>
      <c r="R44" s="61"/>
      <c r="S44" s="77">
        <f t="shared" si="26"/>
        <v>337.60649999999998</v>
      </c>
      <c r="T44" s="90">
        <v>129.5</v>
      </c>
      <c r="U44" s="137"/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32</v>
      </c>
      <c r="B45" s="18">
        <f t="shared" si="27"/>
        <v>13.051500000000001</v>
      </c>
      <c r="C45" s="61">
        <f t="shared" si="28"/>
        <v>21.598500000000001</v>
      </c>
      <c r="D45" s="61">
        <f t="shared" si="29"/>
        <v>34.124000000000002</v>
      </c>
      <c r="E45" s="61">
        <f t="shared" si="30"/>
        <v>22.35</v>
      </c>
      <c r="F45" s="61">
        <f t="shared" si="23"/>
        <v>22.087499999999999</v>
      </c>
      <c r="G45" s="94"/>
      <c r="H45" s="127">
        <f t="shared" si="24"/>
        <v>113.2115</v>
      </c>
      <c r="I45" s="49"/>
      <c r="J45" s="49"/>
      <c r="K45" s="134"/>
      <c r="L45" s="135"/>
      <c r="M45" s="96" t="s">
        <v>23</v>
      </c>
      <c r="N45" s="61">
        <f t="shared" si="25"/>
        <v>359.76600000000002</v>
      </c>
      <c r="O45" s="61"/>
      <c r="P45" s="61"/>
      <c r="Q45" s="61"/>
      <c r="R45" s="61"/>
      <c r="S45" s="77">
        <f t="shared" si="26"/>
        <v>359.76600000000002</v>
      </c>
      <c r="T45" s="90">
        <v>138</v>
      </c>
      <c r="U45" s="137"/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>SUM(B39:B45)</f>
        <v>91.360500000000016</v>
      </c>
      <c r="C46" s="22">
        <f>SUM(C39:C45)</f>
        <v>151.18950000000001</v>
      </c>
      <c r="D46" s="22">
        <f>SUM(D39:D45)</f>
        <v>238.86799999999999</v>
      </c>
      <c r="E46" s="22">
        <f>SUM(E39:E45)</f>
        <v>156.44999999999999</v>
      </c>
      <c r="F46" s="22">
        <f>SUM(F39:F45)</f>
        <v>154.61250000000001</v>
      </c>
      <c r="G46" s="22"/>
      <c r="H46" s="127">
        <f t="shared" si="24"/>
        <v>792.48049999999989</v>
      </c>
      <c r="I46" s="49"/>
      <c r="J46" s="49"/>
      <c r="K46" s="49"/>
      <c r="M46" s="80" t="s">
        <v>9</v>
      </c>
      <c r="N46" s="62">
        <f>SUM(N39:N45)</f>
        <v>2190.0364199999999</v>
      </c>
      <c r="O46" s="22"/>
      <c r="P46" s="22"/>
      <c r="Q46" s="22"/>
      <c r="R46" s="22"/>
      <c r="S46" s="77">
        <f t="shared" si="26"/>
        <v>2190.0364199999999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38.5</v>
      </c>
      <c r="C47" s="24">
        <v>38.5</v>
      </c>
      <c r="D47" s="24">
        <v>38</v>
      </c>
      <c r="E47" s="24">
        <v>37.5</v>
      </c>
      <c r="F47" s="24">
        <v>37.5</v>
      </c>
      <c r="G47" s="25"/>
      <c r="H47" s="128">
        <f>+((H46/H48)/7)*1000</f>
        <v>37.952229299363054</v>
      </c>
      <c r="I47" s="105"/>
      <c r="J47" s="105"/>
      <c r="K47" s="49"/>
      <c r="M47" s="93" t="s">
        <v>11</v>
      </c>
      <c r="N47" s="63"/>
      <c r="O47" s="24"/>
      <c r="P47" s="24"/>
      <c r="Q47" s="24"/>
      <c r="R47" s="24"/>
      <c r="S47" s="78">
        <f>+((S46/S48)/7)*1000</f>
        <v>120.00857142857143</v>
      </c>
      <c r="T47" s="50"/>
      <c r="U47" s="50"/>
    </row>
    <row r="48" spans="1:32" ht="33.75" customHeight="1" x14ac:dyDescent="0.25">
      <c r="A48" s="71" t="s">
        <v>12</v>
      </c>
      <c r="B48" s="26">
        <v>339</v>
      </c>
      <c r="C48" s="27">
        <v>561</v>
      </c>
      <c r="D48" s="27">
        <v>898</v>
      </c>
      <c r="E48" s="27">
        <v>596</v>
      </c>
      <c r="F48" s="27">
        <v>589</v>
      </c>
      <c r="G48" s="28"/>
      <c r="H48" s="129">
        <f>SUM(B48:G48)</f>
        <v>2983</v>
      </c>
      <c r="I48" s="106"/>
      <c r="J48" s="106"/>
      <c r="K48" s="49"/>
      <c r="L48" s="51"/>
      <c r="M48" s="71" t="s">
        <v>12</v>
      </c>
      <c r="N48" s="79">
        <v>2607</v>
      </c>
      <c r="O48" s="79"/>
      <c r="P48" s="79"/>
      <c r="Q48" s="79"/>
      <c r="R48" s="79"/>
      <c r="S48" s="82">
        <f>SUM(N48:Q48)</f>
        <v>2607</v>
      </c>
      <c r="T48" s="52"/>
      <c r="U48" s="52"/>
    </row>
    <row r="49" spans="1:32" ht="33.75" customHeight="1" x14ac:dyDescent="0.25">
      <c r="A49" s="72" t="s">
        <v>13</v>
      </c>
      <c r="B49" s="30">
        <f>(B48*B47)/1000</f>
        <v>13.051500000000001</v>
      </c>
      <c r="C49" s="31">
        <f>(C48*C47)/1000</f>
        <v>21.598500000000001</v>
      </c>
      <c r="D49" s="31">
        <f>(D48*D47)/1000</f>
        <v>34.124000000000002</v>
      </c>
      <c r="E49" s="31">
        <f>(E48*E47)/1000</f>
        <v>22.35</v>
      </c>
      <c r="F49" s="31">
        <f>(F48*F47)/1000</f>
        <v>22.087499999999999</v>
      </c>
      <c r="G49" s="31"/>
      <c r="H49" s="130">
        <f>((H46*1000)/H48)/7</f>
        <v>37.952229299363054</v>
      </c>
      <c r="I49" s="107"/>
      <c r="J49" s="107"/>
      <c r="K49" s="49"/>
      <c r="M49" s="72" t="s">
        <v>13</v>
      </c>
      <c r="N49" s="65">
        <f>(N48*N47)/1000</f>
        <v>0</v>
      </c>
      <c r="O49" s="31">
        <f>(O48*O47)/1000</f>
        <v>0</v>
      </c>
      <c r="P49" s="31">
        <f>(P48*P47)/1000</f>
        <v>0</v>
      </c>
      <c r="Q49" s="31">
        <f>(Q48*Q47)/1000</f>
        <v>0</v>
      </c>
      <c r="R49" s="31"/>
      <c r="S49" s="83">
        <f>((S46*1000)/S48)/7</f>
        <v>120.00857142857141</v>
      </c>
      <c r="T49" s="52"/>
      <c r="U49" s="52"/>
    </row>
    <row r="50" spans="1:32" ht="33.75" customHeight="1" x14ac:dyDescent="0.25">
      <c r="A50" s="73" t="s">
        <v>14</v>
      </c>
      <c r="B50" s="34">
        <f>((B48*B47)*7)/1000</f>
        <v>91.360500000000002</v>
      </c>
      <c r="C50" s="35">
        <f>((C48*C47)*7)/1000</f>
        <v>151.18950000000001</v>
      </c>
      <c r="D50" s="35">
        <f>((D48*D47)*7)/1000</f>
        <v>238.86799999999999</v>
      </c>
      <c r="E50" s="35">
        <f>((E48*E47)*7)/1000</f>
        <v>156.44999999999999</v>
      </c>
      <c r="F50" s="35">
        <f>((F48*F47)*7)/1000</f>
        <v>154.61250000000001</v>
      </c>
      <c r="G50" s="35"/>
      <c r="H50" s="108"/>
      <c r="I50" s="41"/>
      <c r="J50" s="41"/>
      <c r="K50" s="49"/>
      <c r="M50" s="73" t="s">
        <v>14</v>
      </c>
      <c r="N50" s="66">
        <f>((N48*N47)*7)/1000</f>
        <v>0</v>
      </c>
      <c r="O50" s="35">
        <f>((O48*O47)*7)/1000</f>
        <v>0</v>
      </c>
      <c r="P50" s="35">
        <f>((P48*P47)*7)/1000</f>
        <v>0</v>
      </c>
      <c r="Q50" s="35">
        <f>((Q48*Q47)*7)/1000</f>
        <v>0</v>
      </c>
      <c r="R50" s="35"/>
      <c r="S50" s="84"/>
    </row>
    <row r="51" spans="1:32" ht="33.75" customHeight="1" thickBot="1" x14ac:dyDescent="0.3">
      <c r="A51" s="74" t="s">
        <v>15</v>
      </c>
      <c r="B51" s="37">
        <f>+(B46/B48)/7*1000</f>
        <v>38.500000000000014</v>
      </c>
      <c r="C51" s="38">
        <f>+(C46/C48)/7*1000</f>
        <v>38.5</v>
      </c>
      <c r="D51" s="38">
        <f>+(D46/D48)/7*1000</f>
        <v>38</v>
      </c>
      <c r="E51" s="38">
        <f>+(E46/E48)/7*1000</f>
        <v>37.499999999999993</v>
      </c>
      <c r="F51" s="38">
        <f>+(F46/F48)/7*1000</f>
        <v>37.5</v>
      </c>
      <c r="G51" s="38"/>
      <c r="H51" s="131"/>
      <c r="I51" s="41"/>
      <c r="J51" s="41"/>
      <c r="K51" s="49"/>
      <c r="L51" s="41"/>
      <c r="M51" s="74" t="s">
        <v>15</v>
      </c>
      <c r="N51" s="67">
        <f>+(N46/N48)/7*1000</f>
        <v>120.00857142857143</v>
      </c>
      <c r="O51" s="38" t="e">
        <f>+(O46/O48)/7*1000</f>
        <v>#DIV/0!</v>
      </c>
      <c r="P51" s="38" t="e">
        <f>+(P46/P48)/7*1000</f>
        <v>#DIV/0!</v>
      </c>
      <c r="Q51" s="38" t="e">
        <f>+(Q46/Q48)/7*1000</f>
        <v>#DIV/0!</v>
      </c>
      <c r="R51" s="38"/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>
        <v>120</v>
      </c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18"/>
      <c r="M54" s="1018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16" t="s">
        <v>30</v>
      </c>
      <c r="C55" s="1016"/>
      <c r="D55" s="1016"/>
      <c r="E55" s="1016"/>
      <c r="F55" s="1017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283.48755</v>
      </c>
      <c r="C58" s="61"/>
      <c r="D58" s="61"/>
      <c r="E58" s="61"/>
      <c r="F58" s="61"/>
      <c r="G58" s="77">
        <f t="shared" ref="G58:G65" si="31">SUM(B58:F58)</f>
        <v>283.48755</v>
      </c>
      <c r="H58" s="42"/>
      <c r="I58" s="42"/>
      <c r="J58" s="42"/>
      <c r="K58" s="2">
        <v>111.39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32">(($B$67*K59)/1000)</f>
        <v>283.48755</v>
      </c>
      <c r="C59" s="61"/>
      <c r="D59" s="61"/>
      <c r="E59" s="61"/>
      <c r="F59" s="61"/>
      <c r="G59" s="77">
        <f t="shared" si="31"/>
        <v>283.48755</v>
      </c>
      <c r="H59" s="42"/>
      <c r="I59" s="42"/>
      <c r="J59" s="42"/>
      <c r="K59" s="2">
        <v>111.39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300.31</v>
      </c>
      <c r="C60" s="61"/>
      <c r="D60" s="61"/>
      <c r="E60" s="61"/>
      <c r="F60" s="19"/>
      <c r="G60" s="77">
        <f t="shared" si="31"/>
        <v>300.31</v>
      </c>
      <c r="H60" s="42"/>
      <c r="I60" s="42"/>
      <c r="J60" s="42"/>
      <c r="K60" s="2">
        <v>118</v>
      </c>
      <c r="L60" s="136">
        <v>652.20000000000005</v>
      </c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32"/>
        <v>313.03500000000003</v>
      </c>
      <c r="C61" s="61"/>
      <c r="D61" s="61"/>
      <c r="E61" s="61"/>
      <c r="F61" s="61"/>
      <c r="G61" s="77">
        <f t="shared" si="31"/>
        <v>313.03500000000003</v>
      </c>
      <c r="H61" s="42"/>
      <c r="I61" s="42"/>
      <c r="J61" s="42"/>
      <c r="K61" s="2">
        <v>123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32"/>
        <v>330.85</v>
      </c>
      <c r="C62" s="61"/>
      <c r="D62" s="61"/>
      <c r="E62" s="61"/>
      <c r="F62" s="61"/>
      <c r="G62" s="77">
        <f t="shared" si="31"/>
        <v>330.85</v>
      </c>
      <c r="H62" s="42"/>
      <c r="I62" s="42"/>
      <c r="J62" s="42"/>
      <c r="K62" s="2">
        <v>130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32"/>
        <v>348.66500000000002</v>
      </c>
      <c r="C63" s="61"/>
      <c r="D63" s="61"/>
      <c r="E63" s="61"/>
      <c r="F63" s="61"/>
      <c r="G63" s="77">
        <f t="shared" si="31"/>
        <v>348.66500000000002</v>
      </c>
      <c r="H63" s="42"/>
      <c r="I63" s="42"/>
      <c r="J63" s="42"/>
      <c r="K63" s="2">
        <v>137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32"/>
        <v>369.02499999999998</v>
      </c>
      <c r="C64" s="61"/>
      <c r="D64" s="61"/>
      <c r="E64" s="61"/>
      <c r="F64" s="61"/>
      <c r="G64" s="77">
        <f t="shared" si="31"/>
        <v>369.02499999999998</v>
      </c>
      <c r="H64" s="42"/>
      <c r="I64" s="42"/>
      <c r="J64" s="42"/>
      <c r="K64" s="2">
        <v>145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2228.8601000000003</v>
      </c>
      <c r="C65" s="22"/>
      <c r="D65" s="22"/>
      <c r="E65" s="22"/>
      <c r="F65" s="22"/>
      <c r="G65" s="77">
        <f t="shared" si="31"/>
        <v>2228.8601000000003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/>
      <c r="C66" s="24"/>
      <c r="D66" s="24"/>
      <c r="E66" s="24"/>
      <c r="F66" s="24"/>
      <c r="G66" s="78">
        <f>+((G65/G67)/7)*1000</f>
        <v>125.11142857142859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2545</v>
      </c>
      <c r="C67" s="79"/>
      <c r="D67" s="79"/>
      <c r="E67" s="79"/>
      <c r="F67" s="79"/>
      <c r="G67" s="82">
        <f>SUM(B67:F67)</f>
        <v>2545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0</v>
      </c>
      <c r="C68" s="31">
        <f>(C67*C66)/1000</f>
        <v>0</v>
      </c>
      <c r="D68" s="31">
        <f>(D67*D66)/1000</f>
        <v>0</v>
      </c>
      <c r="E68" s="31">
        <f>(E67*E66)/1000</f>
        <v>0</v>
      </c>
      <c r="F68" s="31"/>
      <c r="G68" s="86">
        <f>((G65*1000)/G67)/7</f>
        <v>125.1114285714286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0</v>
      </c>
      <c r="C69" s="35">
        <f>((C67*C66)*7)/1000</f>
        <v>0</v>
      </c>
      <c r="D69" s="35">
        <f>((D67*D66)*7)/1000</f>
        <v>0</v>
      </c>
      <c r="E69" s="35">
        <f>((E67*E66)*7)/1000</f>
        <v>0</v>
      </c>
      <c r="F69" s="35"/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125.11142857142859</v>
      </c>
      <c r="C70" s="38" t="e">
        <f>+(C65/C67)/7*1000</f>
        <v>#DIV/0!</v>
      </c>
      <c r="D70" s="38" t="e">
        <f>+(D65/D67)/7*1000</f>
        <v>#DIV/0!</v>
      </c>
      <c r="E70" s="38" t="e">
        <f>+(E65/E67)/7*1000</f>
        <v>#DIV/0!</v>
      </c>
      <c r="F70" s="38"/>
      <c r="G70" s="87"/>
      <c r="S70" s="3"/>
    </row>
    <row r="71" spans="1:30" ht="33.75" customHeight="1" x14ac:dyDescent="0.25">
      <c r="B71" s="138">
        <v>125</v>
      </c>
    </row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T9:U9"/>
    <mergeCell ref="M11:N11"/>
    <mergeCell ref="B15:J15"/>
    <mergeCell ref="K15:O15"/>
    <mergeCell ref="P15:U15"/>
    <mergeCell ref="B36:G36"/>
    <mergeCell ref="N36:R36"/>
    <mergeCell ref="K37:L37"/>
    <mergeCell ref="L54:M54"/>
    <mergeCell ref="B55:F55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:AI239"/>
  <sheetViews>
    <sheetView topLeftCell="D4" zoomScale="30" zoomScaleNormal="30" workbookViewId="0">
      <selection activeCell="K53" sqref="K53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3.4257812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56</v>
      </c>
      <c r="Q11" s="1022"/>
      <c r="R11" s="6"/>
      <c r="S11" s="6"/>
      <c r="T11" s="1"/>
      <c r="U11" s="1"/>
      <c r="V11" s="1" t="s">
        <v>6</v>
      </c>
      <c r="W11" s="95">
        <v>45399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6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26"/>
      <c r="M15" s="174"/>
      <c r="N15" s="174"/>
      <c r="O15" s="1026" t="s">
        <v>8</v>
      </c>
      <c r="P15" s="1026"/>
      <c r="Q15" s="1026"/>
      <c r="R15" s="1026"/>
      <c r="S15" s="1026"/>
      <c r="T15" s="1026"/>
      <c r="U15" s="1026"/>
      <c r="V15" s="1026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>
        <v>13</v>
      </c>
      <c r="AB18" s="15"/>
    </row>
    <row r="19" spans="1:35" ht="39.950000000000003" customHeight="1" x14ac:dyDescent="0.25">
      <c r="A19" s="146" t="s">
        <v>24</v>
      </c>
      <c r="B19" s="18">
        <v>22.8</v>
      </c>
      <c r="C19" s="19">
        <v>18</v>
      </c>
      <c r="D19" s="19">
        <v>18</v>
      </c>
      <c r="E19" s="19">
        <v>19.8</v>
      </c>
      <c r="F19" s="19">
        <v>19.8</v>
      </c>
      <c r="G19" s="19">
        <v>19.8</v>
      </c>
      <c r="H19" s="19">
        <v>21.9</v>
      </c>
      <c r="I19" s="19">
        <v>21.9</v>
      </c>
      <c r="J19" s="19">
        <v>18</v>
      </c>
      <c r="K19" s="19">
        <v>18</v>
      </c>
      <c r="L19" s="19">
        <v>25.9</v>
      </c>
      <c r="M19" s="19">
        <v>20.100000000000001</v>
      </c>
      <c r="N19" s="20">
        <v>8.6999999999999993</v>
      </c>
      <c r="O19" s="61"/>
      <c r="P19" s="19"/>
      <c r="Q19" s="19"/>
      <c r="R19" s="19"/>
      <c r="S19" s="19"/>
      <c r="T19" s="19"/>
      <c r="U19" s="19"/>
      <c r="V19" s="19"/>
      <c r="W19" s="19"/>
      <c r="X19" s="20"/>
      <c r="Y19" s="98">
        <f t="shared" si="0"/>
        <v>252.7</v>
      </c>
      <c r="AA19" s="2">
        <v>15</v>
      </c>
      <c r="AB19" s="15"/>
    </row>
    <row r="20" spans="1:35" ht="39.75" customHeight="1" x14ac:dyDescent="0.25">
      <c r="A20" s="146" t="s">
        <v>20</v>
      </c>
      <c r="B20" s="18">
        <f>(((($B$26*$B$27)/1000)*6)-$B$19)/5</f>
        <v>23.660400000000003</v>
      </c>
      <c r="C20" s="19">
        <f>((((($C$26*$C$27)/1000)*6)-$C$19)/5)</f>
        <v>18.576000000000001</v>
      </c>
      <c r="D20" s="19">
        <f>((((($D$26*$D$27)/1000)*6)-$D$19)/5)</f>
        <v>18.576000000000001</v>
      </c>
      <c r="E20" s="19">
        <f>((((($E$26*$E$27)/1000)*6)-$E$19)/5)</f>
        <v>20.3874</v>
      </c>
      <c r="F20" s="19">
        <f>((((($F$26*$F$27)/1000)*6)-$F$19)/5)</f>
        <v>20.433599999999998</v>
      </c>
      <c r="G20" s="19">
        <f>((((($G$26*$G$27)/1000)*6)-$G$19)/5)</f>
        <v>20.433599999999998</v>
      </c>
      <c r="H20" s="19">
        <f>((((($H$26*$H$27)/1000)*6)-$H$19)/5)</f>
        <v>22.204799999999999</v>
      </c>
      <c r="I20" s="19">
        <f>((((($I$26*$I$27)/1000)*6)-$I$19)/5)</f>
        <v>22.204799999999999</v>
      </c>
      <c r="J20" s="19">
        <f>((((($J$26*$J$27)/1000)*6)-$J$19)/5)</f>
        <v>17.910000000000004</v>
      </c>
      <c r="K20" s="19">
        <f>((((($K$26*$K$27)/1000)*6)-$K$19)/5)</f>
        <v>17.910000000000004</v>
      </c>
      <c r="L20" s="19">
        <f>((((($L$26*$L$27)/1000)*6)-$L$19)/5)</f>
        <v>25.367199999999997</v>
      </c>
      <c r="M20" s="19">
        <f>((((($M$26*$M$27)/1000)*6)-$M$19)/5)</f>
        <v>19.369199999999999</v>
      </c>
      <c r="N20" s="20">
        <f>((((($N$26*$N$27)/1000)*6)-$N$19)/5)</f>
        <v>8.2392000000000003</v>
      </c>
      <c r="O20" s="61"/>
      <c r="P20" s="19"/>
      <c r="Q20" s="19"/>
      <c r="R20" s="19"/>
      <c r="S20" s="19"/>
      <c r="T20" s="19"/>
      <c r="U20" s="19"/>
      <c r="V20" s="19"/>
      <c r="W20" s="19"/>
      <c r="X20" s="20"/>
      <c r="Y20" s="98">
        <f t="shared" si="0"/>
        <v>255.27220000000003</v>
      </c>
      <c r="AA20" s="2">
        <v>17.5</v>
      </c>
      <c r="AB20" s="15"/>
    </row>
    <row r="21" spans="1:35" ht="39.950000000000003" customHeight="1" x14ac:dyDescent="0.25">
      <c r="A21" s="146" t="s">
        <v>28</v>
      </c>
      <c r="B21" s="18">
        <f>(((($B$26*$B$27)/1000)*6)-$B$19)/5</f>
        <v>23.660400000000003</v>
      </c>
      <c r="C21" s="19">
        <f>((((($C$26*$C$27)/1000)*6)-$C$19)/5)</f>
        <v>18.576000000000001</v>
      </c>
      <c r="D21" s="19">
        <f>((((($D$26*$D$27)/1000)*6)-$D$19)/5)</f>
        <v>18.576000000000001</v>
      </c>
      <c r="E21" s="19">
        <f>((((($E$26*$E$27)/1000)*6)-$E$19)/5)</f>
        <v>20.3874</v>
      </c>
      <c r="F21" s="19">
        <f>((((($F$26*$F$27)/1000)*6)-$F$19)/5)</f>
        <v>20.433599999999998</v>
      </c>
      <c r="G21" s="19">
        <f>((((($G$26*$G$27)/1000)*6)-$G$19)/5)</f>
        <v>20.433599999999998</v>
      </c>
      <c r="H21" s="19">
        <f>((((($H$26*$H$27)/1000)*6)-$H$19)/5)</f>
        <v>22.204799999999999</v>
      </c>
      <c r="I21" s="19">
        <f>((((($I$26*$I$27)/1000)*6)-$I$19)/5)</f>
        <v>22.204799999999999</v>
      </c>
      <c r="J21" s="19">
        <f>((((($J$26*$J$27)/1000)*6)-$J$19)/5)</f>
        <v>17.910000000000004</v>
      </c>
      <c r="K21" s="19">
        <f>((((($K$26*$K$27)/1000)*6)-$K$19)/5)</f>
        <v>17.910000000000004</v>
      </c>
      <c r="L21" s="19">
        <f>((((($L$26*$L$27)/1000)*6)-$L$19)/5)</f>
        <v>25.367199999999997</v>
      </c>
      <c r="M21" s="19">
        <f>((((($M$26*$M$27)/1000)*6)-$M$19)/5)</f>
        <v>19.369199999999999</v>
      </c>
      <c r="N21" s="20">
        <f>((((($N$26*$N$27)/1000)*6)-$N$19)/5)</f>
        <v>8.2392000000000003</v>
      </c>
      <c r="O21" s="61">
        <f>(($O$26*$O$27)/1000)</f>
        <v>10.794</v>
      </c>
      <c r="P21" s="19">
        <f>(($P$26*$P$27)/1000)</f>
        <v>30.9175</v>
      </c>
      <c r="Q21" s="19">
        <f>(($Q$26*$Q$27)/1000)</f>
        <v>23.042000000000002</v>
      </c>
      <c r="R21" s="19">
        <f>(($R$26*$R$27)/1000)</f>
        <v>23.042000000000002</v>
      </c>
      <c r="S21" s="19">
        <f>(($S$26*$S$27)/1000)</f>
        <v>32.886000000000003</v>
      </c>
      <c r="T21" s="19">
        <f>(($T$26*$T$27)/1000)</f>
        <v>31.4</v>
      </c>
      <c r="U21" s="19">
        <f>(($U$26*$U$27)/1000)</f>
        <v>24.963999999999999</v>
      </c>
      <c r="V21" s="19">
        <f>(($V$26*$V$27)/1000)</f>
        <v>18.018000000000001</v>
      </c>
      <c r="W21" s="19">
        <f>(($W$26*$W$27)/1000)</f>
        <v>17.315999999999999</v>
      </c>
      <c r="X21" s="20"/>
      <c r="Y21" s="98">
        <f t="shared" si="0"/>
        <v>467.65170000000006</v>
      </c>
      <c r="AA21" s="2">
        <v>21.5</v>
      </c>
      <c r="AB21" s="15"/>
    </row>
    <row r="22" spans="1:35" ht="39.950000000000003" customHeight="1" x14ac:dyDescent="0.25">
      <c r="A22" s="146" t="s">
        <v>21</v>
      </c>
      <c r="B22" s="18">
        <f>(((($B$26*$B$27)/1000)*6)-$B$19)/5</f>
        <v>23.660400000000003</v>
      </c>
      <c r="C22" s="19">
        <f>((((($C$26*$C$27)/1000)*6)-$C$19)/5)</f>
        <v>18.576000000000001</v>
      </c>
      <c r="D22" s="19">
        <f>((((($D$26*$D$27)/1000)*6)-$D$19)/5)</f>
        <v>18.576000000000001</v>
      </c>
      <c r="E22" s="19">
        <f>((((($E$26*$E$27)/1000)*6)-$E$19)/5)</f>
        <v>20.3874</v>
      </c>
      <c r="F22" s="19">
        <f>((((($F$26*$F$27)/1000)*6)-$F$19)/5)</f>
        <v>20.433599999999998</v>
      </c>
      <c r="G22" s="19">
        <f>((((($G$26*$G$27)/1000)*6)-$G$19)/5)</f>
        <v>20.433599999999998</v>
      </c>
      <c r="H22" s="19">
        <f>((((($H$26*$H$27)/1000)*6)-$H$19)/5)</f>
        <v>22.204799999999999</v>
      </c>
      <c r="I22" s="19">
        <f>((((($I$26*$I$27)/1000)*6)-$I$19)/5)</f>
        <v>22.204799999999999</v>
      </c>
      <c r="J22" s="19">
        <f>((((($J$26*$J$27)/1000)*6)-$J$19)/5)</f>
        <v>17.910000000000004</v>
      </c>
      <c r="K22" s="19">
        <f>((((($K$26*$K$27)/1000)*6)-$K$19)/5)</f>
        <v>17.910000000000004</v>
      </c>
      <c r="L22" s="19">
        <f>((((($L$26*$L$27)/1000)*6)-$L$19)/5)</f>
        <v>25.367199999999997</v>
      </c>
      <c r="M22" s="19">
        <f>((((($M$26*$M$27)/1000)*6)-$M$19)/5)</f>
        <v>19.369199999999999</v>
      </c>
      <c r="N22" s="20">
        <f>((((($N$26*$N$27)/1000)*6)-$N$19)/5)</f>
        <v>8.2392000000000003</v>
      </c>
      <c r="O22" s="61">
        <f>(($O$26*$O$27)/1000)</f>
        <v>10.794</v>
      </c>
      <c r="P22" s="19">
        <f>(($P$26*$P$27)/1000)</f>
        <v>30.9175</v>
      </c>
      <c r="Q22" s="19">
        <f>(($Q$26*$Q$27)/1000)</f>
        <v>23.042000000000002</v>
      </c>
      <c r="R22" s="19">
        <f>(($R$26*$R$27)/1000)</f>
        <v>23.042000000000002</v>
      </c>
      <c r="S22" s="19">
        <f>(($S$26*$S$27)/1000)</f>
        <v>32.886000000000003</v>
      </c>
      <c r="T22" s="19">
        <f>(($T$26*$T$27)/1000)</f>
        <v>31.4</v>
      </c>
      <c r="U22" s="19">
        <f>(($U$26*$U$27)/1000)</f>
        <v>24.963999999999999</v>
      </c>
      <c r="V22" s="19">
        <f>(($V$26*$V$27)/1000)</f>
        <v>18.018000000000001</v>
      </c>
      <c r="W22" s="19">
        <f>(($W$26*$W$27)/1000)</f>
        <v>17.315999999999999</v>
      </c>
      <c r="X22" s="20"/>
      <c r="Y22" s="98">
        <f t="shared" si="0"/>
        <v>467.65170000000006</v>
      </c>
      <c r="AA22" s="2">
        <v>26</v>
      </c>
      <c r="AB22" s="15"/>
    </row>
    <row r="23" spans="1:35" ht="39.950000000000003" customHeight="1" x14ac:dyDescent="0.25">
      <c r="A23" s="146" t="s">
        <v>22</v>
      </c>
      <c r="B23" s="18">
        <f>(((($B$26*$B$27)/1000)*6)-$B$19)/5</f>
        <v>23.660400000000003</v>
      </c>
      <c r="C23" s="19">
        <f>((((($C$26*$C$27)/1000)*6)-$C$19)/5)</f>
        <v>18.576000000000001</v>
      </c>
      <c r="D23" s="19">
        <f>((((($D$26*$D$27)/1000)*6)-$D$19)/5)</f>
        <v>18.576000000000001</v>
      </c>
      <c r="E23" s="19">
        <f>((((($E$26*$E$27)/1000)*6)-$E$19)/5)</f>
        <v>20.3874</v>
      </c>
      <c r="F23" s="19">
        <f>((((($F$26*$F$27)/1000)*6)-$F$19)/5)</f>
        <v>20.433599999999998</v>
      </c>
      <c r="G23" s="19">
        <f>((((($G$26*$G$27)/1000)*6)-$G$19)/5)</f>
        <v>20.433599999999998</v>
      </c>
      <c r="H23" s="19">
        <f>((((($H$26*$H$27)/1000)*6)-$H$19)/5)</f>
        <v>22.204799999999999</v>
      </c>
      <c r="I23" s="19">
        <f>((((($I$26*$I$27)/1000)*6)-$I$19)/5)</f>
        <v>22.204799999999999</v>
      </c>
      <c r="J23" s="19">
        <f>((((($J$26*$J$27)/1000)*6)-$J$19)/5)</f>
        <v>17.910000000000004</v>
      </c>
      <c r="K23" s="19">
        <f>((((($K$26*$K$27)/1000)*6)-$K$19)/5)</f>
        <v>17.910000000000004</v>
      </c>
      <c r="L23" s="19">
        <f>((((($L$26*$L$27)/1000)*6)-$L$19)/5)</f>
        <v>25.367199999999997</v>
      </c>
      <c r="M23" s="19">
        <f>((((($M$26*$M$27)/1000)*6)-$M$19)/5)</f>
        <v>19.369199999999999</v>
      </c>
      <c r="N23" s="20">
        <f>((((($N$26*$N$27)/1000)*6)-$N$19)/5)</f>
        <v>8.2392000000000003</v>
      </c>
      <c r="O23" s="61">
        <f>(($O$26*$O$27)/1000)</f>
        <v>10.794</v>
      </c>
      <c r="P23" s="19">
        <f>(($P$26*$P$27)/1000)</f>
        <v>30.9175</v>
      </c>
      <c r="Q23" s="19">
        <f>(($Q$26*$Q$27)/1000)</f>
        <v>23.042000000000002</v>
      </c>
      <c r="R23" s="19">
        <f>(($R$26*$R$27)/1000)</f>
        <v>23.042000000000002</v>
      </c>
      <c r="S23" s="19">
        <f>(($S$26*$S$27)/1000)</f>
        <v>32.886000000000003</v>
      </c>
      <c r="T23" s="19">
        <f>(($T$26*$T$27)/1000)</f>
        <v>31.4</v>
      </c>
      <c r="U23" s="19">
        <f>(($U$26*$U$27)/1000)</f>
        <v>24.963999999999999</v>
      </c>
      <c r="V23" s="19">
        <f>(($V$26*$V$27)/1000)</f>
        <v>18.018000000000001</v>
      </c>
      <c r="W23" s="19">
        <f>(($W$26*$W$27)/1000)</f>
        <v>17.315999999999999</v>
      </c>
      <c r="X23" s="20"/>
      <c r="Y23" s="98">
        <f t="shared" si="0"/>
        <v>467.65170000000006</v>
      </c>
      <c r="AA23" s="2">
        <v>28</v>
      </c>
      <c r="AB23" s="15"/>
    </row>
    <row r="24" spans="1:35" ht="39.950000000000003" customHeight="1" x14ac:dyDescent="0.25">
      <c r="A24" s="146" t="s">
        <v>23</v>
      </c>
      <c r="B24" s="18">
        <f>(((($B$26*$B$27)/1000)*6)-$B$19)/5</f>
        <v>23.660400000000003</v>
      </c>
      <c r="C24" s="19">
        <f>((((($C$26*$C$27)/1000)*6)-$C$19)/5)</f>
        <v>18.576000000000001</v>
      </c>
      <c r="D24" s="19">
        <f>((((($D$26*$D$27)/1000)*6)-$D$19)/5)</f>
        <v>18.576000000000001</v>
      </c>
      <c r="E24" s="19">
        <f>((((($E$26*$E$27)/1000)*6)-$E$19)/5)</f>
        <v>20.3874</v>
      </c>
      <c r="F24" s="19">
        <f>((((($F$26*$F$27)/1000)*6)-$F$19)/5)</f>
        <v>20.433599999999998</v>
      </c>
      <c r="G24" s="19">
        <f>((((($G$26*$G$27)/1000)*6)-$G$19)/5)</f>
        <v>20.433599999999998</v>
      </c>
      <c r="H24" s="19">
        <f>((((($H$26*$H$27)/1000)*6)-$H$19)/5)</f>
        <v>22.204799999999999</v>
      </c>
      <c r="I24" s="19">
        <f>((((($I$26*$I$27)/1000)*6)-$I$19)/5)</f>
        <v>22.204799999999999</v>
      </c>
      <c r="J24" s="19">
        <f>((((($J$26*$J$27)/1000)*6)-$J$19)/5)</f>
        <v>17.910000000000004</v>
      </c>
      <c r="K24" s="19">
        <f>((((($K$26*$K$27)/1000)*6)-$K$19)/5)</f>
        <v>17.910000000000004</v>
      </c>
      <c r="L24" s="19">
        <f>((((($L$26*$L$27)/1000)*6)-$L$19)/5)</f>
        <v>25.367199999999997</v>
      </c>
      <c r="M24" s="19">
        <f>((((($M$26*$M$27)/1000)*6)-$M$19)/5)</f>
        <v>19.369199999999999</v>
      </c>
      <c r="N24" s="20">
        <f>((((($N$26*$N$27)/1000)*6)-$N$19)/5)</f>
        <v>8.2392000000000003</v>
      </c>
      <c r="O24" s="61">
        <f>(($O$26*$O$27)/1000)</f>
        <v>10.794</v>
      </c>
      <c r="P24" s="19">
        <f>(($P$26*$P$27)/1000)</f>
        <v>30.9175</v>
      </c>
      <c r="Q24" s="19">
        <f>(($Q$26*$Q$27)/1000)</f>
        <v>23.042000000000002</v>
      </c>
      <c r="R24" s="19">
        <f>(($R$26*$R$27)/1000)</f>
        <v>23.042000000000002</v>
      </c>
      <c r="S24" s="19">
        <f>(($S$26*$S$27)/1000)</f>
        <v>32.886000000000003</v>
      </c>
      <c r="T24" s="19">
        <f>(($T$26*$T$27)/1000)</f>
        <v>31.4</v>
      </c>
      <c r="U24" s="19">
        <f>(($U$26*$U$27)/1000)</f>
        <v>24.963999999999999</v>
      </c>
      <c r="V24" s="19">
        <f>(($V$26*$V$27)/1000)</f>
        <v>18.018000000000001</v>
      </c>
      <c r="W24" s="19">
        <f>(($W$26*$W$27)/1000)</f>
        <v>17.315999999999999</v>
      </c>
      <c r="X24" s="20"/>
      <c r="Y24" s="98">
        <f t="shared" si="0"/>
        <v>467.65170000000006</v>
      </c>
      <c r="AA24" s="2">
        <v>29.5</v>
      </c>
    </row>
    <row r="25" spans="1:35" ht="41.45" customHeight="1" x14ac:dyDescent="0.25">
      <c r="A25" s="182" t="s">
        <v>9</v>
      </c>
      <c r="B25" s="21">
        <f>SUM(B18:B24)</f>
        <v>141.10200000000003</v>
      </c>
      <c r="C25" s="22">
        <f>SUM(C18:C24)</f>
        <v>110.88</v>
      </c>
      <c r="D25" s="22">
        <f>SUM(D18:D24)</f>
        <v>110.88</v>
      </c>
      <c r="E25" s="22">
        <f>SUM(E18:E24)</f>
        <v>121.73699999999999</v>
      </c>
      <c r="F25" s="22">
        <f>SUM(F18:F24)</f>
        <v>121.96799999999999</v>
      </c>
      <c r="G25" s="22">
        <f t="shared" ref="G25:W25" si="1">SUM(G18:G24)</f>
        <v>121.96799999999999</v>
      </c>
      <c r="H25" s="22">
        <f t="shared" si="1"/>
        <v>132.92400000000001</v>
      </c>
      <c r="I25" s="22">
        <f t="shared" si="1"/>
        <v>132.92400000000001</v>
      </c>
      <c r="J25" s="22">
        <f>SUM(J18:J24)</f>
        <v>107.55000000000001</v>
      </c>
      <c r="K25" s="22">
        <f t="shared" si="1"/>
        <v>107.55000000000001</v>
      </c>
      <c r="L25" s="22">
        <f t="shared" si="1"/>
        <v>152.73599999999999</v>
      </c>
      <c r="M25" s="22">
        <f t="shared" si="1"/>
        <v>116.946</v>
      </c>
      <c r="N25" s="153">
        <f t="shared" si="1"/>
        <v>49.896000000000001</v>
      </c>
      <c r="O25" s="62">
        <f t="shared" si="1"/>
        <v>43.176000000000002</v>
      </c>
      <c r="P25" s="22">
        <f t="shared" si="1"/>
        <v>123.67</v>
      </c>
      <c r="Q25" s="22">
        <f t="shared" si="1"/>
        <v>92.168000000000006</v>
      </c>
      <c r="R25" s="22">
        <f t="shared" si="1"/>
        <v>92.168000000000006</v>
      </c>
      <c r="S25" s="19">
        <f t="shared" si="1"/>
        <v>131.54400000000001</v>
      </c>
      <c r="T25" s="19">
        <f t="shared" si="1"/>
        <v>125.6</v>
      </c>
      <c r="U25" s="19">
        <f t="shared" si="1"/>
        <v>99.855999999999995</v>
      </c>
      <c r="V25" s="19">
        <f t="shared" si="1"/>
        <v>72.072000000000003</v>
      </c>
      <c r="W25" s="19">
        <f t="shared" si="1"/>
        <v>69.263999999999996</v>
      </c>
      <c r="X25" s="20"/>
      <c r="Y25" s="98">
        <f>SUM(Y18:Y24)</f>
        <v>2378.5790000000002</v>
      </c>
    </row>
    <row r="26" spans="1:35" s="2" customFormat="1" ht="36.75" customHeight="1" x14ac:dyDescent="0.25">
      <c r="A26" s="148" t="s">
        <v>11</v>
      </c>
      <c r="B26" s="23">
        <v>39</v>
      </c>
      <c r="C26" s="24">
        <v>38.5</v>
      </c>
      <c r="D26" s="24">
        <v>38.5</v>
      </c>
      <c r="E26" s="24">
        <v>38.5</v>
      </c>
      <c r="F26" s="24">
        <v>38.5</v>
      </c>
      <c r="G26" s="24">
        <v>38.5</v>
      </c>
      <c r="H26" s="24">
        <v>38</v>
      </c>
      <c r="I26" s="24">
        <v>38</v>
      </c>
      <c r="J26" s="24">
        <v>37.5</v>
      </c>
      <c r="K26" s="24">
        <v>37.5</v>
      </c>
      <c r="L26" s="24">
        <v>37</v>
      </c>
      <c r="M26" s="24">
        <v>36.5</v>
      </c>
      <c r="N26" s="25">
        <v>36</v>
      </c>
      <c r="O26" s="63">
        <v>42</v>
      </c>
      <c r="P26" s="24">
        <v>41.5</v>
      </c>
      <c r="Q26" s="24">
        <v>41</v>
      </c>
      <c r="R26" s="24">
        <v>41</v>
      </c>
      <c r="S26" s="24">
        <v>40.5</v>
      </c>
      <c r="T26" s="24">
        <v>40</v>
      </c>
      <c r="U26" s="24">
        <v>39.5</v>
      </c>
      <c r="V26" s="24">
        <v>39</v>
      </c>
      <c r="W26" s="24">
        <v>39</v>
      </c>
      <c r="X26" s="25"/>
      <c r="Y26" s="99">
        <f>((Y25/Y27)/7)*1000</f>
        <v>31.953827346247888</v>
      </c>
    </row>
    <row r="27" spans="1:35" s="2" customFormat="1" ht="33" customHeight="1" x14ac:dyDescent="0.25">
      <c r="A27" s="149" t="s">
        <v>12</v>
      </c>
      <c r="B27" s="26">
        <v>603</v>
      </c>
      <c r="C27" s="27">
        <v>480</v>
      </c>
      <c r="D27" s="27">
        <v>480</v>
      </c>
      <c r="E27" s="27">
        <v>527</v>
      </c>
      <c r="F27" s="27">
        <v>528</v>
      </c>
      <c r="G27" s="27">
        <v>528</v>
      </c>
      <c r="H27" s="27">
        <v>583</v>
      </c>
      <c r="I27" s="27">
        <v>583</v>
      </c>
      <c r="J27" s="27">
        <v>478</v>
      </c>
      <c r="K27" s="27">
        <v>478</v>
      </c>
      <c r="L27" s="27">
        <v>688</v>
      </c>
      <c r="M27" s="27">
        <v>534</v>
      </c>
      <c r="N27" s="28">
        <v>231</v>
      </c>
      <c r="O27" s="64">
        <v>257</v>
      </c>
      <c r="P27" s="27">
        <v>745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SUM(B27,C27,D27,E27,F27,G27,I27,J27,K27,L27,O27,P27,Q27,R27,S27,T27,U27,V27,W27,X27)</f>
        <v>10634</v>
      </c>
      <c r="Z27" s="2">
        <f>((Y25*1000)/Y27)/7</f>
        <v>31.953827346247884</v>
      </c>
    </row>
    <row r="28" spans="1:35" s="2" customFormat="1" ht="33" customHeight="1" x14ac:dyDescent="0.25">
      <c r="A28" s="150" t="s">
        <v>13</v>
      </c>
      <c r="B28" s="30">
        <f>(B27*B26)/1000</f>
        <v>23.516999999999999</v>
      </c>
      <c r="C28" s="31">
        <f>(C27*C26)/1000</f>
        <v>18.48</v>
      </c>
      <c r="D28" s="31">
        <f>(D27*D26)/1000</f>
        <v>18.48</v>
      </c>
      <c r="E28" s="31">
        <f>(E27*E26)/1000</f>
        <v>20.2895</v>
      </c>
      <c r="F28" s="31">
        <f>(F27*F26)/1000</f>
        <v>20.327999999999999</v>
      </c>
      <c r="G28" s="31">
        <f t="shared" ref="G28:W28" si="2">(G27*G26)/1000</f>
        <v>20.327999999999999</v>
      </c>
      <c r="H28" s="31">
        <f t="shared" si="2"/>
        <v>22.154</v>
      </c>
      <c r="I28" s="31">
        <f t="shared" si="2"/>
        <v>22.154</v>
      </c>
      <c r="J28" s="31">
        <f t="shared" si="2"/>
        <v>17.925000000000001</v>
      </c>
      <c r="K28" s="31">
        <f t="shared" si="2"/>
        <v>17.925000000000001</v>
      </c>
      <c r="L28" s="31">
        <f t="shared" si="2"/>
        <v>25.456</v>
      </c>
      <c r="M28" s="31">
        <f t="shared" si="2"/>
        <v>19.491</v>
      </c>
      <c r="N28" s="32">
        <f t="shared" si="2"/>
        <v>8.3160000000000007</v>
      </c>
      <c r="O28" s="65">
        <f t="shared" si="2"/>
        <v>10.794</v>
      </c>
      <c r="P28" s="31">
        <f t="shared" si="2"/>
        <v>30.9175</v>
      </c>
      <c r="Q28" s="31">
        <f t="shared" si="2"/>
        <v>23.042000000000002</v>
      </c>
      <c r="R28" s="31">
        <f t="shared" si="2"/>
        <v>23.042000000000002</v>
      </c>
      <c r="S28" s="31">
        <f t="shared" si="2"/>
        <v>32.886000000000003</v>
      </c>
      <c r="T28" s="31">
        <f t="shared" si="2"/>
        <v>31.4</v>
      </c>
      <c r="U28" s="31">
        <f t="shared" si="2"/>
        <v>24.963999999999999</v>
      </c>
      <c r="V28" s="31">
        <f t="shared" si="2"/>
        <v>18.018000000000001</v>
      </c>
      <c r="W28" s="31">
        <f t="shared" si="2"/>
        <v>17.315999999999999</v>
      </c>
      <c r="X28" s="32"/>
      <c r="Y28" s="33"/>
    </row>
    <row r="29" spans="1:35" ht="33.75" customHeight="1" x14ac:dyDescent="0.25">
      <c r="A29" s="151" t="s">
        <v>14</v>
      </c>
      <c r="B29" s="34">
        <f>((B27*B26)*6)/1000</f>
        <v>141.102</v>
      </c>
      <c r="C29" s="35">
        <f t="shared" ref="C29:N29" si="3">((C27*C26)*6)/1000</f>
        <v>110.88</v>
      </c>
      <c r="D29" s="35">
        <f t="shared" si="3"/>
        <v>110.88</v>
      </c>
      <c r="E29" s="35">
        <f t="shared" si="3"/>
        <v>121.73699999999999</v>
      </c>
      <c r="F29" s="35">
        <f t="shared" si="3"/>
        <v>121.968</v>
      </c>
      <c r="G29" s="35">
        <f t="shared" si="3"/>
        <v>121.968</v>
      </c>
      <c r="H29" s="35">
        <f t="shared" si="3"/>
        <v>132.92400000000001</v>
      </c>
      <c r="I29" s="35">
        <f t="shared" si="3"/>
        <v>132.92400000000001</v>
      </c>
      <c r="J29" s="35">
        <f t="shared" si="3"/>
        <v>107.55</v>
      </c>
      <c r="K29" s="35">
        <f t="shared" si="3"/>
        <v>107.55</v>
      </c>
      <c r="L29" s="35">
        <f t="shared" si="3"/>
        <v>152.73599999999999</v>
      </c>
      <c r="M29" s="35">
        <f t="shared" si="3"/>
        <v>116.946</v>
      </c>
      <c r="N29" s="68">
        <f t="shared" si="3"/>
        <v>49.896000000000001</v>
      </c>
      <c r="O29" s="66">
        <f t="shared" ref="O29:W29" si="4">((O27*O26)*4)/1000</f>
        <v>43.176000000000002</v>
      </c>
      <c r="P29" s="35">
        <f t="shared" si="4"/>
        <v>123.67</v>
      </c>
      <c r="Q29" s="35">
        <f t="shared" si="4"/>
        <v>92.168000000000006</v>
      </c>
      <c r="R29" s="35">
        <f t="shared" si="4"/>
        <v>92.168000000000006</v>
      </c>
      <c r="S29" s="35">
        <f t="shared" si="4"/>
        <v>131.54400000000001</v>
      </c>
      <c r="T29" s="35">
        <f t="shared" si="4"/>
        <v>125.6</v>
      </c>
      <c r="U29" s="35">
        <f t="shared" si="4"/>
        <v>99.855999999999995</v>
      </c>
      <c r="V29" s="35">
        <f t="shared" si="4"/>
        <v>72.072000000000003</v>
      </c>
      <c r="W29" s="35">
        <f t="shared" si="4"/>
        <v>69.263999999999996</v>
      </c>
      <c r="X29" s="68"/>
      <c r="Y29" s="36"/>
    </row>
    <row r="30" spans="1:35" ht="33.75" customHeight="1" thickBot="1" x14ac:dyDescent="0.3">
      <c r="A30" s="152" t="s">
        <v>15</v>
      </c>
      <c r="B30" s="37">
        <f>+(B25/B27)/6*1000</f>
        <v>39.000000000000007</v>
      </c>
      <c r="C30" s="38">
        <f t="shared" ref="C30:N30" si="5">+(C25/C27)/6*1000</f>
        <v>38.5</v>
      </c>
      <c r="D30" s="38">
        <f>+(D25/D27)/6*1000</f>
        <v>38.5</v>
      </c>
      <c r="E30" s="38">
        <f t="shared" si="5"/>
        <v>38.5</v>
      </c>
      <c r="F30" s="38">
        <f t="shared" si="5"/>
        <v>38.5</v>
      </c>
      <c r="G30" s="38">
        <f t="shared" si="5"/>
        <v>38.5</v>
      </c>
      <c r="H30" s="38">
        <f t="shared" si="5"/>
        <v>38</v>
      </c>
      <c r="I30" s="38">
        <f t="shared" si="5"/>
        <v>38</v>
      </c>
      <c r="J30" s="38">
        <f t="shared" si="5"/>
        <v>37.500000000000007</v>
      </c>
      <c r="K30" s="38">
        <f t="shared" si="5"/>
        <v>37.500000000000007</v>
      </c>
      <c r="L30" s="38">
        <f t="shared" si="5"/>
        <v>37</v>
      </c>
      <c r="M30" s="38">
        <f t="shared" si="5"/>
        <v>36.5</v>
      </c>
      <c r="N30" s="39">
        <f t="shared" si="5"/>
        <v>36</v>
      </c>
      <c r="O30" s="67">
        <f t="shared" ref="O30:T30" si="6">+(O25/O27)/4*1000</f>
        <v>42</v>
      </c>
      <c r="P30" s="38">
        <f t="shared" si="6"/>
        <v>41.5</v>
      </c>
      <c r="Q30" s="38">
        <f t="shared" si="6"/>
        <v>41</v>
      </c>
      <c r="R30" s="38">
        <f t="shared" si="6"/>
        <v>41</v>
      </c>
      <c r="S30" s="38">
        <f t="shared" si="6"/>
        <v>40.5</v>
      </c>
      <c r="T30" s="38">
        <f t="shared" si="6"/>
        <v>40</v>
      </c>
      <c r="U30" s="38">
        <f>+(U25/U27)/7*1000</f>
        <v>22.571428571428573</v>
      </c>
      <c r="V30" s="38">
        <f>+(V25/V27)/4*1000</f>
        <v>39</v>
      </c>
      <c r="W30" s="38">
        <f>+(W25/W27)/4*1000</f>
        <v>39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31" t="s">
        <v>17</v>
      </c>
      <c r="C36" s="1032"/>
      <c r="D36" s="1032"/>
      <c r="E36" s="1032"/>
      <c r="F36" s="1032"/>
      <c r="G36" s="1032"/>
      <c r="H36" s="1033"/>
      <c r="I36" s="177"/>
      <c r="O36" s="44"/>
      <c r="P36" s="88" t="s">
        <v>18</v>
      </c>
      <c r="Q36" s="1016" t="s">
        <v>17</v>
      </c>
      <c r="R36" s="1016"/>
      <c r="S36" s="1016"/>
      <c r="T36" s="1016"/>
      <c r="U36" s="1017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21" t="s">
        <v>27</v>
      </c>
      <c r="M37" s="1021"/>
      <c r="N37" s="1021"/>
      <c r="O37" s="1021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 t="s">
        <v>25</v>
      </c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>
        <v>120</v>
      </c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>
        <v>12.1</v>
      </c>
      <c r="C39" s="19">
        <v>19.399999999999999</v>
      </c>
      <c r="D39" s="19">
        <v>26.6</v>
      </c>
      <c r="E39" s="19">
        <v>14.8</v>
      </c>
      <c r="F39" s="19">
        <v>14.8</v>
      </c>
      <c r="G39" s="19">
        <v>23.5</v>
      </c>
      <c r="H39" s="20">
        <v>15.4</v>
      </c>
      <c r="I39" s="127">
        <f t="shared" ref="I39:I46" si="7">SUM(B39:H39)</f>
        <v>126.60000000000001</v>
      </c>
      <c r="J39" s="49">
        <v>35.200000000000003</v>
      </c>
      <c r="K39" s="49"/>
      <c r="L39" s="89">
        <v>13</v>
      </c>
      <c r="M39" s="89"/>
      <c r="N39" s="89"/>
      <c r="O39" s="90"/>
      <c r="P39" s="96" t="s">
        <v>51</v>
      </c>
      <c r="Q39" s="101">
        <f>(($Q$48*W39)/1000)</f>
        <v>277.55799999999999</v>
      </c>
      <c r="R39" s="101">
        <f>(($R$48*W39)/1000)</f>
        <v>61.524999999999999</v>
      </c>
      <c r="S39" s="101">
        <f>(($S$48*W39)/1000)</f>
        <v>0</v>
      </c>
      <c r="T39" s="101">
        <f>(($T$48*W39)/1000)</f>
        <v>0</v>
      </c>
      <c r="U39" s="101">
        <f>(($U$48*W39)/1000)</f>
        <v>0</v>
      </c>
      <c r="V39" s="77">
        <f t="shared" ref="V39:V46" si="8">SUM(Q39:U39)</f>
        <v>339.08299999999997</v>
      </c>
      <c r="W39" s="2">
        <v>107</v>
      </c>
      <c r="X39" s="49">
        <v>12.1</v>
      </c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21.7</v>
      </c>
      <c r="D40" s="19">
        <v>29.5</v>
      </c>
      <c r="E40" s="19">
        <v>16.2</v>
      </c>
      <c r="F40" s="19">
        <v>16.2</v>
      </c>
      <c r="G40" s="19">
        <v>25.3</v>
      </c>
      <c r="H40" s="20">
        <v>16.3</v>
      </c>
      <c r="I40" s="127">
        <f t="shared" si="7"/>
        <v>139.1</v>
      </c>
      <c r="J40" s="49"/>
      <c r="K40" s="49"/>
      <c r="L40" s="89">
        <v>15</v>
      </c>
      <c r="M40" s="89"/>
      <c r="N40" s="89"/>
      <c r="O40" s="90"/>
      <c r="P40" s="96" t="s">
        <v>24</v>
      </c>
      <c r="Q40" s="101">
        <f t="shared" ref="Q40:Q45" si="9">(($Q$48*W40)/1000)</f>
        <v>285.33999999999997</v>
      </c>
      <c r="R40" s="101">
        <f t="shared" ref="R40:R45" si="10">(($R$48*W40)/1000)</f>
        <v>63.25</v>
      </c>
      <c r="S40" s="101">
        <f t="shared" ref="S40:S45" si="11">(($S$48*W40)/1000)</f>
        <v>0</v>
      </c>
      <c r="T40" s="101">
        <f t="shared" ref="T40:T45" si="12">(($T$48*W40)/1000)</f>
        <v>0</v>
      </c>
      <c r="U40" s="101">
        <f t="shared" ref="U40:U45" si="13">(($U$48*W40)/1000)</f>
        <v>0</v>
      </c>
      <c r="V40" s="77">
        <f t="shared" si="8"/>
        <v>348.59</v>
      </c>
      <c r="W40" s="2">
        <v>110</v>
      </c>
      <c r="X40" s="49">
        <v>14.6</v>
      </c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((((($B$47*$B$48)/1000)*7)-$B$39-$B$40)/5)</f>
        <v>13.896000000000001</v>
      </c>
      <c r="C41" s="19">
        <f>((((($C$47*$C$48)/1000)*7)-$C$39-$C$40)/5)</f>
        <v>22.139700000000001</v>
      </c>
      <c r="D41" s="19">
        <f>((((($D$47*$D$48)/1000)*7)-$D$39-$D$40)/5)</f>
        <v>30.003000000000004</v>
      </c>
      <c r="E41" s="19">
        <f>((((($E$47*$E$48)/1000)*7)-$E$39-$E$40)/5)</f>
        <v>16.143999999999998</v>
      </c>
      <c r="F41" s="19">
        <f>((((($F$47*$F$48)/1000)*7)-$F$39-$F$40)/5)</f>
        <v>16.197199999999999</v>
      </c>
      <c r="G41" s="19">
        <f>((((($G$47*$G$48)/1000)*7)-$G$39-$G$40)/5)</f>
        <v>25.2575</v>
      </c>
      <c r="H41" s="20">
        <f>((((($H$47*$H$48)/1000)*7)-$H$39-$H$40)/5)</f>
        <v>16.348399999999998</v>
      </c>
      <c r="I41" s="127">
        <f t="shared" si="7"/>
        <v>139.98580000000001</v>
      </c>
      <c r="J41" s="49"/>
      <c r="K41" s="49"/>
      <c r="L41" s="89">
        <v>17.5</v>
      </c>
      <c r="M41" s="89"/>
      <c r="N41" s="89"/>
      <c r="O41" s="90"/>
      <c r="P41" s="96" t="s">
        <v>20</v>
      </c>
      <c r="Q41" s="101">
        <f t="shared" si="9"/>
        <v>295.71600000000001</v>
      </c>
      <c r="R41" s="101">
        <f t="shared" si="10"/>
        <v>65.55</v>
      </c>
      <c r="S41" s="101">
        <f t="shared" si="11"/>
        <v>0</v>
      </c>
      <c r="T41" s="101">
        <f t="shared" si="12"/>
        <v>0</v>
      </c>
      <c r="U41" s="101">
        <f t="shared" si="13"/>
        <v>0</v>
      </c>
      <c r="V41" s="77">
        <f t="shared" si="8"/>
        <v>361.26600000000002</v>
      </c>
      <c r="W41" s="2">
        <v>114</v>
      </c>
      <c r="X41" s="49">
        <v>23</v>
      </c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((((($B$47*$B$48)/1000)*7)-$B$39-$B$40)/5)</f>
        <v>13.896000000000001</v>
      </c>
      <c r="C42" s="19">
        <f>((((($C$47*$C$48)/1000)*7)-$C$39-$C$40)/5)</f>
        <v>22.139700000000001</v>
      </c>
      <c r="D42" s="19">
        <f>((((($D$47*$D$48)/1000)*7)-$D$39-$D$40)/5)</f>
        <v>30.003000000000004</v>
      </c>
      <c r="E42" s="19">
        <f>((((($E$47*$E$48)/1000)*7)-$E$39-$E$40)/5)</f>
        <v>16.143999999999998</v>
      </c>
      <c r="F42" s="19">
        <f>((((($F$47*$F$48)/1000)*7)-$F$39-$F$40)/5)</f>
        <v>16.197199999999999</v>
      </c>
      <c r="G42" s="19">
        <f>((((($G$47*$G$48)/1000)*7)-$G$39-$G$40)/5)</f>
        <v>25.2575</v>
      </c>
      <c r="H42" s="20">
        <f>((((($H$47*$H$48)/1000)*7)-$H$39-$H$40)/5)</f>
        <v>16.348399999999998</v>
      </c>
      <c r="I42" s="127">
        <f t="shared" si="7"/>
        <v>139.98580000000001</v>
      </c>
      <c r="J42" s="41"/>
      <c r="K42" s="49"/>
      <c r="L42" s="89">
        <v>21.5</v>
      </c>
      <c r="M42" s="89"/>
      <c r="N42" s="89"/>
      <c r="O42" s="90"/>
      <c r="P42" s="96" t="s">
        <v>28</v>
      </c>
      <c r="Q42" s="101">
        <f t="shared" si="9"/>
        <v>308.68599999999998</v>
      </c>
      <c r="R42" s="101">
        <f t="shared" si="10"/>
        <v>68.424999999999997</v>
      </c>
      <c r="S42" s="101">
        <f t="shared" si="11"/>
        <v>0</v>
      </c>
      <c r="T42" s="101">
        <f t="shared" si="12"/>
        <v>0</v>
      </c>
      <c r="U42" s="101">
        <f t="shared" si="13"/>
        <v>0</v>
      </c>
      <c r="V42" s="77">
        <f t="shared" si="8"/>
        <v>377.11099999999999</v>
      </c>
      <c r="W42" s="2">
        <v>119</v>
      </c>
      <c r="X42" s="49">
        <v>30</v>
      </c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((((($B$47*$B$48)/1000)*7)-$B$39-$B$40)/5)</f>
        <v>13.896000000000001</v>
      </c>
      <c r="C43" s="19">
        <f>((((($C$47*$C$48)/1000)*7)-$C$39-$C$40)/5)</f>
        <v>22.139700000000001</v>
      </c>
      <c r="D43" s="19">
        <f>((((($D$47*$D$48)/1000)*7)-$D$39-$D$40)/5)</f>
        <v>30.003000000000004</v>
      </c>
      <c r="E43" s="19">
        <f>((((($E$47*$E$48)/1000)*7)-$E$39-$E$40)/5)</f>
        <v>16.143999999999998</v>
      </c>
      <c r="F43" s="19">
        <f>((((($F$47*$F$48)/1000)*7)-$F$39-$F$40)/5)</f>
        <v>16.197199999999999</v>
      </c>
      <c r="G43" s="19">
        <f>((((($G$47*$G$48)/1000)*7)-$G$39-$G$40)/5)</f>
        <v>25.2575</v>
      </c>
      <c r="H43" s="20">
        <f>((((($H$47*$H$48)/1000)*7)-$H$39-$H$40)/5)</f>
        <v>16.348399999999998</v>
      </c>
      <c r="I43" s="127">
        <f t="shared" si="7"/>
        <v>139.98580000000001</v>
      </c>
      <c r="J43" s="54"/>
      <c r="K43" s="49"/>
      <c r="L43" s="89">
        <v>26</v>
      </c>
      <c r="M43" s="89"/>
      <c r="N43" s="89"/>
      <c r="O43" s="90"/>
      <c r="P43" s="96" t="s">
        <v>21</v>
      </c>
      <c r="Q43" s="101">
        <f t="shared" si="9"/>
        <v>324.25</v>
      </c>
      <c r="R43" s="101">
        <f t="shared" si="10"/>
        <v>71.875</v>
      </c>
      <c r="S43" s="101">
        <f t="shared" si="11"/>
        <v>0</v>
      </c>
      <c r="T43" s="101">
        <f t="shared" si="12"/>
        <v>0</v>
      </c>
      <c r="U43" s="101">
        <f t="shared" si="13"/>
        <v>0</v>
      </c>
      <c r="V43" s="77">
        <f t="shared" si="8"/>
        <v>396.125</v>
      </c>
      <c r="W43" s="2">
        <v>125</v>
      </c>
      <c r="X43" s="49">
        <v>37</v>
      </c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((((($B$47*$B$48)/1000)*7)-$B$39-$B$40)/5)</f>
        <v>13.896000000000001</v>
      </c>
      <c r="C44" s="19">
        <f>((((($C$47*$C$48)/1000)*7)-$C$39-$C$40)/5)</f>
        <v>22.139700000000001</v>
      </c>
      <c r="D44" s="19">
        <f>((((($D$47*$D$48)/1000)*7)-$D$39-$D$40)/5)</f>
        <v>30.003000000000004</v>
      </c>
      <c r="E44" s="19">
        <f>((((($E$47*$E$48)/1000)*7)-$E$39-$E$40)/5)</f>
        <v>16.143999999999998</v>
      </c>
      <c r="F44" s="19">
        <f>((((($F$47*$F$48)/1000)*7)-$F$39-$F$40)/5)</f>
        <v>16.197199999999999</v>
      </c>
      <c r="G44" s="19">
        <f>((((($G$47*$G$48)/1000)*7)-$G$39-$G$40)/5)</f>
        <v>25.2575</v>
      </c>
      <c r="H44" s="20">
        <f>((((($H$47*$H$48)/1000)*7)-$H$39-$H$40)/5)</f>
        <v>16.348399999999998</v>
      </c>
      <c r="I44" s="127">
        <f t="shared" si="7"/>
        <v>139.98580000000001</v>
      </c>
      <c r="J44" s="56"/>
      <c r="K44" s="49"/>
      <c r="L44" s="89">
        <v>28</v>
      </c>
      <c r="M44" s="89"/>
      <c r="N44" s="89"/>
      <c r="O44" s="90"/>
      <c r="P44" s="96" t="s">
        <v>22</v>
      </c>
      <c r="Q44" s="101">
        <f t="shared" si="9"/>
        <v>337.22</v>
      </c>
      <c r="R44" s="101">
        <f t="shared" si="10"/>
        <v>74.75</v>
      </c>
      <c r="S44" s="101">
        <f t="shared" si="11"/>
        <v>0</v>
      </c>
      <c r="T44" s="101">
        <f t="shared" si="12"/>
        <v>0</v>
      </c>
      <c r="U44" s="101">
        <f t="shared" si="13"/>
        <v>0</v>
      </c>
      <c r="V44" s="77">
        <f t="shared" si="8"/>
        <v>411.97</v>
      </c>
      <c r="W44" s="2">
        <v>130</v>
      </c>
      <c r="X44" s="49">
        <v>45</v>
      </c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((((($B$47*$B$48)/1000)*7)-$B$39-$B$40)/5)</f>
        <v>13.896000000000001</v>
      </c>
      <c r="C45" s="19">
        <f>((((($C$47*$C$48)/1000)*7)-$C$39-$C$40)/5)</f>
        <v>22.139700000000001</v>
      </c>
      <c r="D45" s="19">
        <f>((((($D$47*$D$48)/1000)*7)-$D$39-$D$40)/5)</f>
        <v>30.003000000000004</v>
      </c>
      <c r="E45" s="19">
        <f>((((($E$47*$E$48)/1000)*7)-$E$39-$E$40)/5)</f>
        <v>16.143999999999998</v>
      </c>
      <c r="F45" s="19">
        <f>((((($F$47*$F$48)/1000)*7)-$F$39-$F$40)/5)</f>
        <v>16.197199999999999</v>
      </c>
      <c r="G45" s="19">
        <f>((((($G$47*$G$48)/1000)*7)-$G$39-$G$40)/5)</f>
        <v>25.2575</v>
      </c>
      <c r="H45" s="20">
        <f>((((($H$47*$H$48)/1000)*7)-$H$39-$H$40)/5)</f>
        <v>16.348399999999998</v>
      </c>
      <c r="I45" s="127">
        <f t="shared" si="7"/>
        <v>139.98580000000001</v>
      </c>
      <c r="K45" s="49"/>
      <c r="L45" s="89">
        <v>29.5</v>
      </c>
      <c r="M45" s="89"/>
      <c r="N45" s="89"/>
      <c r="O45" s="90"/>
      <c r="P45" s="96" t="s">
        <v>23</v>
      </c>
      <c r="Q45" s="101">
        <f t="shared" si="9"/>
        <v>350.19</v>
      </c>
      <c r="R45" s="101">
        <f t="shared" si="10"/>
        <v>77.625</v>
      </c>
      <c r="S45" s="101">
        <f t="shared" si="11"/>
        <v>0</v>
      </c>
      <c r="T45" s="101">
        <f t="shared" si="12"/>
        <v>0</v>
      </c>
      <c r="U45" s="101">
        <f t="shared" si="13"/>
        <v>0</v>
      </c>
      <c r="V45" s="77">
        <f t="shared" si="8"/>
        <v>427.815</v>
      </c>
      <c r="W45" s="2">
        <v>135</v>
      </c>
      <c r="X45" s="49">
        <v>48</v>
      </c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14">SUM(B39:B45)</f>
        <v>95.48</v>
      </c>
      <c r="C46" s="22">
        <f t="shared" si="14"/>
        <v>151.79850000000002</v>
      </c>
      <c r="D46" s="22">
        <f t="shared" si="14"/>
        <v>206.11500000000004</v>
      </c>
      <c r="E46" s="22">
        <f t="shared" si="14"/>
        <v>111.72</v>
      </c>
      <c r="F46" s="22">
        <f t="shared" si="14"/>
        <v>111.98599999999998</v>
      </c>
      <c r="G46" s="22">
        <f t="shared" si="14"/>
        <v>175.08749999999998</v>
      </c>
      <c r="H46" s="153">
        <f t="shared" si="14"/>
        <v>113.44199999999999</v>
      </c>
      <c r="I46" s="127">
        <f t="shared" si="7"/>
        <v>965.62900000000002</v>
      </c>
      <c r="J46" s="45"/>
      <c r="K46" s="49"/>
      <c r="L46" s="49"/>
      <c r="M46" s="49"/>
      <c r="N46" s="49"/>
      <c r="P46" s="80" t="s">
        <v>9</v>
      </c>
      <c r="Q46" s="62">
        <f>SUM(Q39:Q45)</f>
        <v>2178.96</v>
      </c>
      <c r="R46" s="22">
        <f>SUM(R39:R45)</f>
        <v>483</v>
      </c>
      <c r="S46" s="22">
        <f>SUM(S39:S45)</f>
        <v>0</v>
      </c>
      <c r="T46" s="22">
        <f>SUM(T39:T45)</f>
        <v>0</v>
      </c>
      <c r="U46" s="22">
        <f>SUM(U39:U45)</f>
        <v>0</v>
      </c>
      <c r="V46" s="77">
        <f t="shared" si="8"/>
        <v>2661.96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40</v>
      </c>
      <c r="C47" s="24">
        <v>39.5</v>
      </c>
      <c r="D47" s="24">
        <v>39</v>
      </c>
      <c r="E47" s="24">
        <v>38</v>
      </c>
      <c r="F47" s="24">
        <v>38</v>
      </c>
      <c r="G47" s="24">
        <v>37.5</v>
      </c>
      <c r="H47" s="25">
        <v>37</v>
      </c>
      <c r="I47" s="128">
        <f>+((I46/I48)/7)*1000</f>
        <v>38.414647730437203</v>
      </c>
      <c r="J47" s="42"/>
      <c r="K47" s="105"/>
      <c r="L47" s="49"/>
      <c r="M47" s="49"/>
      <c r="N47" s="49"/>
      <c r="P47" s="93" t="s">
        <v>11</v>
      </c>
      <c r="Q47" s="63">
        <v>30</v>
      </c>
      <c r="R47" s="24">
        <v>30</v>
      </c>
      <c r="S47" s="24">
        <v>30</v>
      </c>
      <c r="T47" s="24">
        <v>30</v>
      </c>
      <c r="U47" s="24">
        <v>30</v>
      </c>
      <c r="V47" s="78">
        <f>+((V46/V48)/7)*1000</f>
        <v>120</v>
      </c>
      <c r="W47" s="50"/>
      <c r="X47" s="50"/>
    </row>
    <row r="48" spans="1:35" ht="33.75" customHeight="1" x14ac:dyDescent="0.25">
      <c r="A48" s="149" t="s">
        <v>12</v>
      </c>
      <c r="B48" s="26">
        <v>341</v>
      </c>
      <c r="C48" s="27">
        <v>549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3591</v>
      </c>
      <c r="J48" s="42"/>
      <c r="K48" s="106"/>
      <c r="L48" s="49"/>
      <c r="M48" s="49"/>
      <c r="N48" s="49"/>
      <c r="O48" s="51"/>
      <c r="P48" s="71" t="s">
        <v>12</v>
      </c>
      <c r="Q48" s="79">
        <v>2594</v>
      </c>
      <c r="R48" s="79">
        <v>575</v>
      </c>
      <c r="S48" s="79"/>
      <c r="T48" s="79"/>
      <c r="U48" s="79"/>
      <c r="V48" s="82">
        <f>SUM(Q48:U48)</f>
        <v>3169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15">(B48*B47)/1000</f>
        <v>13.64</v>
      </c>
      <c r="C49" s="31">
        <f t="shared" si="15"/>
        <v>21.685500000000001</v>
      </c>
      <c r="D49" s="31">
        <f t="shared" si="15"/>
        <v>29.445</v>
      </c>
      <c r="E49" s="31">
        <f t="shared" si="15"/>
        <v>15.96</v>
      </c>
      <c r="F49" s="31">
        <f t="shared" si="15"/>
        <v>15.997999999999999</v>
      </c>
      <c r="G49" s="31">
        <f t="shared" si="15"/>
        <v>25.012499999999999</v>
      </c>
      <c r="H49" s="32">
        <f t="shared" si="15"/>
        <v>16.206</v>
      </c>
      <c r="I49" s="130">
        <f>((I46*1000)/I48)/7</f>
        <v>38.414647730437203</v>
      </c>
      <c r="J49" s="107"/>
      <c r="K49" s="107"/>
      <c r="L49" s="49"/>
      <c r="M49" s="49"/>
      <c r="N49" s="49"/>
      <c r="P49" s="72" t="s">
        <v>13</v>
      </c>
      <c r="Q49" s="65">
        <f>(Q48*Q47)/1000</f>
        <v>77.819999999999993</v>
      </c>
      <c r="R49" s="31">
        <f>(R48*R47)/1000</f>
        <v>17.25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120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6">((B48*B47)*7)/1000</f>
        <v>95.48</v>
      </c>
      <c r="C50" s="35">
        <f t="shared" si="16"/>
        <v>151.79849999999999</v>
      </c>
      <c r="D50" s="35">
        <f t="shared" si="16"/>
        <v>206.11500000000001</v>
      </c>
      <c r="E50" s="35">
        <f t="shared" si="16"/>
        <v>111.72</v>
      </c>
      <c r="F50" s="35">
        <f t="shared" si="16"/>
        <v>111.986</v>
      </c>
      <c r="G50" s="35">
        <f t="shared" si="16"/>
        <v>175.08750000000001</v>
      </c>
      <c r="H50" s="68">
        <f t="shared" si="16"/>
        <v>113.44199999999999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544.74</v>
      </c>
      <c r="R50" s="35">
        <f>((R48*R47)*7)/1000</f>
        <v>120.75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7">+(B46/B48)/7*1000</f>
        <v>40</v>
      </c>
      <c r="C51" s="38">
        <f t="shared" si="17"/>
        <v>39.5</v>
      </c>
      <c r="D51" s="38">
        <f t="shared" si="17"/>
        <v>39.000000000000014</v>
      </c>
      <c r="E51" s="38">
        <f t="shared" si="17"/>
        <v>38</v>
      </c>
      <c r="F51" s="38">
        <f t="shared" si="17"/>
        <v>37.999999999999993</v>
      </c>
      <c r="G51" s="38">
        <f t="shared" si="17"/>
        <v>37.499999999999993</v>
      </c>
      <c r="H51" s="39">
        <f t="shared" si="17"/>
        <v>37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120</v>
      </c>
      <c r="R51" s="38">
        <f>+(R46/R48)/7*1000</f>
        <v>120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8"/>
      <c r="P54" s="1018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6" t="s">
        <v>30</v>
      </c>
      <c r="C55" s="1016"/>
      <c r="D55" s="1016"/>
      <c r="E55" s="1016"/>
      <c r="F55" s="1017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f>(($B$67*L58)/1000)</f>
        <v>271.459</v>
      </c>
      <c r="C58" s="61">
        <f>(($C$67*L58)/1000)</f>
        <v>60.99</v>
      </c>
      <c r="D58" s="61"/>
      <c r="E58" s="61"/>
      <c r="F58" s="61"/>
      <c r="G58" s="77">
        <f t="shared" ref="G58:G65" si="18">SUM(B58:F58)</f>
        <v>332.44900000000001</v>
      </c>
      <c r="H58" s="49"/>
      <c r="I58" s="42"/>
      <c r="K58" s="42"/>
      <c r="L58" s="2">
        <v>107</v>
      </c>
      <c r="M58" s="2"/>
      <c r="N58" s="2"/>
      <c r="O58" s="45">
        <v>125</v>
      </c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f t="shared" ref="B59:B64" si="19">(($B$67*L59)/1000)</f>
        <v>296.82900000000001</v>
      </c>
      <c r="C59" s="61">
        <f t="shared" ref="C59:C64" si="20">(($C$67*L59)/1000)</f>
        <v>66.69</v>
      </c>
      <c r="D59" s="61"/>
      <c r="E59" s="61"/>
      <c r="F59" s="61"/>
      <c r="G59" s="77">
        <f t="shared" si="18"/>
        <v>363.51900000000001</v>
      </c>
      <c r="H59" s="49"/>
      <c r="I59" s="42"/>
      <c r="K59" s="42"/>
      <c r="L59" s="2">
        <v>117</v>
      </c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(($B$67*L60)/1000)</f>
        <v>312.05099999999999</v>
      </c>
      <c r="C60" s="61">
        <f t="shared" si="20"/>
        <v>70.11</v>
      </c>
      <c r="D60" s="61"/>
      <c r="E60" s="61"/>
      <c r="F60" s="61"/>
      <c r="G60" s="77">
        <f t="shared" si="18"/>
        <v>382.161</v>
      </c>
      <c r="H60" s="49"/>
      <c r="I60" s="42"/>
      <c r="J60" s="42"/>
      <c r="K60" s="42"/>
      <c r="L60" s="2">
        <v>123</v>
      </c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 t="shared" si="19"/>
        <v>319.66199999999998</v>
      </c>
      <c r="C61" s="61">
        <f t="shared" si="20"/>
        <v>71.819999999999993</v>
      </c>
      <c r="D61" s="61"/>
      <c r="E61" s="61"/>
      <c r="F61" s="61"/>
      <c r="G61" s="77">
        <f t="shared" si="18"/>
        <v>391.48199999999997</v>
      </c>
      <c r="H61" s="49"/>
      <c r="I61" s="42"/>
      <c r="J61" s="42"/>
      <c r="K61" s="42"/>
      <c r="L61" s="2">
        <v>126</v>
      </c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 t="shared" si="19"/>
        <v>332.34699999999998</v>
      </c>
      <c r="C62" s="61">
        <f t="shared" si="20"/>
        <v>74.67</v>
      </c>
      <c r="D62" s="61"/>
      <c r="E62" s="61"/>
      <c r="F62" s="61"/>
      <c r="G62" s="77">
        <f t="shared" si="18"/>
        <v>407.017</v>
      </c>
      <c r="H62" s="49"/>
      <c r="I62" s="42"/>
      <c r="J62" s="42"/>
      <c r="K62" s="42"/>
      <c r="L62" s="2">
        <v>131</v>
      </c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 t="shared" si="19"/>
        <v>337.42099999999999</v>
      </c>
      <c r="C63" s="61">
        <f t="shared" si="20"/>
        <v>75.81</v>
      </c>
      <c r="D63" s="61"/>
      <c r="E63" s="61"/>
      <c r="F63" s="61"/>
      <c r="G63" s="77">
        <f t="shared" si="18"/>
        <v>413.23099999999999</v>
      </c>
      <c r="H63" s="49"/>
      <c r="I63" s="42"/>
      <c r="J63" s="42"/>
      <c r="K63" s="42"/>
      <c r="L63" s="2">
        <v>133</v>
      </c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 t="shared" si="19"/>
        <v>350.10599999999999</v>
      </c>
      <c r="C64" s="61">
        <f t="shared" si="20"/>
        <v>78.66</v>
      </c>
      <c r="D64" s="61"/>
      <c r="E64" s="61"/>
      <c r="F64" s="61"/>
      <c r="G64" s="77">
        <f t="shared" si="18"/>
        <v>428.76599999999996</v>
      </c>
      <c r="H64" s="49"/>
      <c r="I64" s="42"/>
      <c r="J64" s="42"/>
      <c r="K64" s="42"/>
      <c r="L64" s="2">
        <v>138</v>
      </c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2219.875</v>
      </c>
      <c r="C65" s="22">
        <f>SUM(C58:C64)</f>
        <v>498.75</v>
      </c>
      <c r="D65" s="22"/>
      <c r="E65" s="22"/>
      <c r="F65" s="22"/>
      <c r="G65" s="77">
        <f t="shared" si="18"/>
        <v>2718.625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90</v>
      </c>
      <c r="C66" s="24">
        <v>90</v>
      </c>
      <c r="D66" s="24"/>
      <c r="E66" s="24"/>
      <c r="F66" s="24"/>
      <c r="G66" s="78">
        <f>+((G65/G67)/7)*1000</f>
        <v>125</v>
      </c>
      <c r="H66" s="10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2537</v>
      </c>
      <c r="C67" s="79">
        <v>570</v>
      </c>
      <c r="D67" s="79"/>
      <c r="E67" s="79"/>
      <c r="F67" s="24"/>
      <c r="G67" s="82">
        <f>SUM(B67:F67)</f>
        <v>3107</v>
      </c>
      <c r="H67" s="175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228.33</v>
      </c>
      <c r="C68" s="31">
        <f>(C67*C66)/1000</f>
        <v>51.3</v>
      </c>
      <c r="D68" s="31"/>
      <c r="E68" s="31"/>
      <c r="F68" s="31"/>
      <c r="G68" s="86">
        <f>((G65*1000)/G67)/7</f>
        <v>125</v>
      </c>
      <c r="H68" s="176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1598.31</v>
      </c>
      <c r="C69" s="35">
        <f>((C67*C66)*7)/1000</f>
        <v>359.1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125</v>
      </c>
      <c r="C70" s="38">
        <f>+(C65/C67)/7*1000</f>
        <v>125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U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AI239"/>
  <sheetViews>
    <sheetView topLeftCell="D1" zoomScale="30" zoomScaleNormal="30" workbookViewId="0">
      <selection activeCell="O57" sqref="O57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57</v>
      </c>
      <c r="Q11" s="1022"/>
      <c r="R11" s="6"/>
      <c r="S11" s="6"/>
      <c r="T11" s="1"/>
      <c r="U11" s="1"/>
      <c r="V11" s="1" t="s">
        <v>6</v>
      </c>
      <c r="W11" s="95">
        <v>45406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6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26"/>
      <c r="M15" s="174"/>
      <c r="N15" s="174"/>
      <c r="O15" s="1026" t="s">
        <v>8</v>
      </c>
      <c r="P15" s="1026"/>
      <c r="Q15" s="1026"/>
      <c r="R15" s="1026"/>
      <c r="S15" s="1026"/>
      <c r="T15" s="1026"/>
      <c r="U15" s="1026"/>
      <c r="V15" s="1026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18.600000000000001</v>
      </c>
      <c r="D19" s="19">
        <v>18.600000000000001</v>
      </c>
      <c r="E19" s="19">
        <v>20.399999999999999</v>
      </c>
      <c r="F19" s="19">
        <v>20.399999999999999</v>
      </c>
      <c r="G19" s="19">
        <v>20.399999999999999</v>
      </c>
      <c r="H19" s="19">
        <v>22.2</v>
      </c>
      <c r="I19" s="19">
        <v>22.2</v>
      </c>
      <c r="J19" s="19">
        <v>17.910000000000004</v>
      </c>
      <c r="K19" s="19">
        <v>17.899999999999999</v>
      </c>
      <c r="L19" s="19">
        <v>25.4</v>
      </c>
      <c r="M19" s="19">
        <v>19.399999999999999</v>
      </c>
      <c r="N19" s="20">
        <v>8.1999999999999993</v>
      </c>
      <c r="O19" s="61">
        <v>10.8</v>
      </c>
      <c r="P19" s="19">
        <v>30.9</v>
      </c>
      <c r="Q19" s="19">
        <v>23</v>
      </c>
      <c r="R19" s="19">
        <v>23</v>
      </c>
      <c r="S19" s="19">
        <v>32.9</v>
      </c>
      <c r="T19" s="19">
        <v>31.4</v>
      </c>
      <c r="U19" s="19">
        <v>25</v>
      </c>
      <c r="V19" s="19">
        <v>18</v>
      </c>
      <c r="W19" s="19">
        <v>17.3</v>
      </c>
      <c r="X19" s="20"/>
      <c r="Y19" s="98">
        <f t="shared" si="0"/>
        <v>467.6099999999999</v>
      </c>
      <c r="AA19" s="2"/>
      <c r="AB19" s="15"/>
    </row>
    <row r="20" spans="1:35" ht="39.75" customHeight="1" x14ac:dyDescent="0.25">
      <c r="A20" s="146" t="s">
        <v>20</v>
      </c>
      <c r="B20" s="18">
        <f>(((($B$26*$B$27)/1000)*7)-$B$19)/5</f>
        <v>31.079000000000001</v>
      </c>
      <c r="C20" s="19">
        <f>((((($C$26*$C$27)/1000)*7)-$C$19)/5)</f>
        <v>24.839999999999996</v>
      </c>
      <c r="D20" s="19">
        <f>((((($D$26*$D$27)/1000)*7)-$D$19)/5)</f>
        <v>24.839999999999996</v>
      </c>
      <c r="E20" s="19">
        <f>((((($E$26*$E$27)/1000)*7)-$E$19)/5)</f>
        <v>26.907599999999995</v>
      </c>
      <c r="F20" s="19">
        <f>((((($F$26*$F$27)/1000)*7)-$F$19)/5)</f>
        <v>26.9664</v>
      </c>
      <c r="G20" s="19">
        <f>((((($G$26*$G$27)/1000)*7)-$G$19)/5)</f>
        <v>26.907599999999995</v>
      </c>
      <c r="H20" s="19">
        <f>((((($H$26*$H$27)/1000)*7)-$H$19)/5)</f>
        <v>29.432300000000005</v>
      </c>
      <c r="I20" s="19">
        <f>((((($I$26*$I$27)/1000)*7)-$I$19)/5)</f>
        <v>29.374200000000002</v>
      </c>
      <c r="J20" s="19">
        <f>((((($J$26*$J$27)/1000)*7)-$J$19)/5)</f>
        <v>24.189800000000002</v>
      </c>
      <c r="K20" s="19">
        <f>((((($K$26*$K$27)/1000)*7)-$K$19)/5)</f>
        <v>24.191800000000001</v>
      </c>
      <c r="L20" s="19">
        <f>((((($L$26*$L$27)/1000)*7)-$L$19)/5)</f>
        <v>33.392000000000003</v>
      </c>
      <c r="M20" s="19">
        <f>((((($M$26*$M$27)/1000)*7)-$M$19)/5)</f>
        <v>25.650200000000002</v>
      </c>
      <c r="N20" s="20">
        <f>((((($N$26*$N$27)/1000)*7)-$N$19)/5)</f>
        <v>10.9726</v>
      </c>
      <c r="O20" s="61">
        <f>((((($O$26*$O$27)/1000)*7)-$O$19)/5)</f>
        <v>13.548000000000002</v>
      </c>
      <c r="P20" s="19">
        <f>((((($P$26*$P$27)/1000)*7)-$P$19)/5)</f>
        <v>39.129599999999996</v>
      </c>
      <c r="Q20" s="19">
        <f>((((($Q$26*$Q$27)/1000)*7)-$Q$19)/5)</f>
        <v>28.839000000000006</v>
      </c>
      <c r="R20" s="19">
        <f>((((($R$26*$R$27)/1000)*7)-$R$19)/5)</f>
        <v>28.839000000000006</v>
      </c>
      <c r="S20" s="19">
        <f>((((($S$26*$S$27)/1000)*7)-$S$19)/5)</f>
        <v>40.597200000000001</v>
      </c>
      <c r="T20" s="19">
        <f>((((($T$26*$T$27)/1000)*7)-$T$19)/5)</f>
        <v>38.779000000000003</v>
      </c>
      <c r="U20" s="19">
        <f>((((($U$26*$U$27)/1000)*7)-$U$19)/5)</f>
        <v>30.834399999999999</v>
      </c>
      <c r="V20" s="19">
        <f>((((($V$26*$V$27)/1000)*7)-$V$19)/5)</f>
        <v>21.948599999999999</v>
      </c>
      <c r="W20" s="19">
        <f>((((($W$26*$W$27)/1000)*7)-$W$19)/5)</f>
        <v>21.093200000000003</v>
      </c>
      <c r="X20" s="20"/>
      <c r="Y20" s="98">
        <f t="shared" si="0"/>
        <v>602.35149999999999</v>
      </c>
      <c r="AA20" s="2"/>
      <c r="AB20" s="15"/>
    </row>
    <row r="21" spans="1:35" ht="39.950000000000003" customHeight="1" x14ac:dyDescent="0.25">
      <c r="A21" s="146" t="s">
        <v>28</v>
      </c>
      <c r="B21" s="18">
        <f>(((($B$26*$B$27)/1000)*7)-$B$19)/5</f>
        <v>31.079000000000001</v>
      </c>
      <c r="C21" s="19">
        <f>((((($C$26*$C$27)/1000)*7)-$C$19)/5)</f>
        <v>24.839999999999996</v>
      </c>
      <c r="D21" s="19">
        <f>((((($D$26*$D$27)/1000)*7)-$D$19)/5)</f>
        <v>24.839999999999996</v>
      </c>
      <c r="E21" s="19">
        <f>((((($E$26*$E$27)/1000)*7)-$E$19)/5)</f>
        <v>26.907599999999995</v>
      </c>
      <c r="F21" s="19">
        <f>((((($F$26*$F$27)/1000)*7)-$F$19)/5)</f>
        <v>26.9664</v>
      </c>
      <c r="G21" s="19">
        <f>((((($G$26*$G$27)/1000)*7)-$G$19)/5)</f>
        <v>26.907599999999995</v>
      </c>
      <c r="H21" s="19">
        <f>((((($H$26*$H$27)/1000)*7)-$H$19)/5)</f>
        <v>29.432300000000005</v>
      </c>
      <c r="I21" s="19">
        <f>((((($I$26*$I$27)/1000)*7)-$I$19)/5)</f>
        <v>29.374200000000002</v>
      </c>
      <c r="J21" s="19">
        <f>((((($J$26*$J$27)/1000)*7)-$J$19)/5)</f>
        <v>24.189800000000002</v>
      </c>
      <c r="K21" s="19">
        <f>((((($K$26*$K$27)/1000)*7)-$K$19)/5)</f>
        <v>24.191800000000001</v>
      </c>
      <c r="L21" s="19">
        <f>((((($L$26*$L$27)/1000)*7)-$L$19)/5)</f>
        <v>33.392000000000003</v>
      </c>
      <c r="M21" s="19">
        <f>((((($M$26*$M$27)/1000)*7)-$M$19)/5)</f>
        <v>25.650200000000002</v>
      </c>
      <c r="N21" s="20">
        <f>((((($N$26*$N$27)/1000)*7)-$N$19)/5)</f>
        <v>10.9726</v>
      </c>
      <c r="O21" s="61">
        <f>((((($O$26*$O$27)/1000)*7)-$O$19)/5)</f>
        <v>13.548000000000002</v>
      </c>
      <c r="P21" s="19">
        <f>((((($P$26*$P$27)/1000)*7)-$P$19)/5)</f>
        <v>39.129599999999996</v>
      </c>
      <c r="Q21" s="19">
        <f>((((($Q$26*$Q$27)/1000)*7)-$Q$19)/5)</f>
        <v>28.839000000000006</v>
      </c>
      <c r="R21" s="19">
        <f>((((($R$26*$R$27)/1000)*7)-$R$19)/5)</f>
        <v>28.839000000000006</v>
      </c>
      <c r="S21" s="19">
        <f>((((($S$26*$S$27)/1000)*7)-$S$19)/5)</f>
        <v>40.597200000000001</v>
      </c>
      <c r="T21" s="19">
        <f>((((($T$26*$T$27)/1000)*7)-$T$19)/5)</f>
        <v>38.779000000000003</v>
      </c>
      <c r="U21" s="19">
        <f>((((($U$26*$U$27)/1000)*7)-$U$19)/5)</f>
        <v>30.834399999999999</v>
      </c>
      <c r="V21" s="19">
        <f>((((($V$26*$V$27)/1000)*7)-$V$19)/5)</f>
        <v>21.948599999999999</v>
      </c>
      <c r="W21" s="19">
        <f>((((($W$26*$W$27)/1000)*7)-$W$19)/5)</f>
        <v>21.093200000000003</v>
      </c>
      <c r="X21" s="20"/>
      <c r="Y21" s="98">
        <f t="shared" si="0"/>
        <v>602.35149999999999</v>
      </c>
      <c r="AA21" s="2"/>
      <c r="AB21" s="15"/>
    </row>
    <row r="22" spans="1:35" ht="39.950000000000003" customHeight="1" x14ac:dyDescent="0.25">
      <c r="A22" s="146" t="s">
        <v>21</v>
      </c>
      <c r="B22" s="18">
        <f>(((($B$26*$B$27)/1000)*7)-$B$19)/5</f>
        <v>31.079000000000001</v>
      </c>
      <c r="C22" s="19">
        <f>((((($C$26*$C$27)/1000)*7)-$C$19)/5)</f>
        <v>24.839999999999996</v>
      </c>
      <c r="D22" s="19">
        <f>((((($D$26*$D$27)/1000)*7)-$D$19)/5)</f>
        <v>24.839999999999996</v>
      </c>
      <c r="E22" s="19">
        <f>((((($E$26*$E$27)/1000)*7)-$E$19)/5)</f>
        <v>26.907599999999995</v>
      </c>
      <c r="F22" s="19">
        <f>((((($F$26*$F$27)/1000)*7)-$F$19)/5)</f>
        <v>26.9664</v>
      </c>
      <c r="G22" s="19">
        <f>((((($G$26*$G$27)/1000)*7)-$G$19)/5)</f>
        <v>26.907599999999995</v>
      </c>
      <c r="H22" s="19">
        <f>((((($H$26*$H$27)/1000)*7)-$H$19)/5)</f>
        <v>29.432300000000005</v>
      </c>
      <c r="I22" s="19">
        <f>((((($I$26*$I$27)/1000)*7)-$I$19)/5)</f>
        <v>29.374200000000002</v>
      </c>
      <c r="J22" s="19">
        <f>((((($J$26*$J$27)/1000)*7)-$J$19)/5)</f>
        <v>24.189800000000002</v>
      </c>
      <c r="K22" s="19">
        <f>((((($K$26*$K$27)/1000)*7)-$K$19)/5)</f>
        <v>24.191800000000001</v>
      </c>
      <c r="L22" s="19">
        <f>((((($L$26*$L$27)/1000)*7)-$L$19)/5)</f>
        <v>33.392000000000003</v>
      </c>
      <c r="M22" s="19">
        <f>((((($M$26*$M$27)/1000)*7)-$M$19)/5)</f>
        <v>25.650200000000002</v>
      </c>
      <c r="N22" s="20">
        <f>((((($N$26*$N$27)/1000)*7)-$N$19)/5)</f>
        <v>10.9726</v>
      </c>
      <c r="O22" s="61">
        <f>((((($O$26*$O$27)/1000)*7)-$O$19)/5)</f>
        <v>13.548000000000002</v>
      </c>
      <c r="P22" s="19">
        <f>((((($P$26*$P$27)/1000)*7)-$P$19)/5)</f>
        <v>39.129599999999996</v>
      </c>
      <c r="Q22" s="19">
        <f>((((($Q$26*$Q$27)/1000)*7)-$Q$19)/5)</f>
        <v>28.839000000000006</v>
      </c>
      <c r="R22" s="19">
        <f>((((($R$26*$R$27)/1000)*7)-$R$19)/5)</f>
        <v>28.839000000000006</v>
      </c>
      <c r="S22" s="19">
        <f>((((($S$26*$S$27)/1000)*7)-$S$19)/5)</f>
        <v>40.597200000000001</v>
      </c>
      <c r="T22" s="19">
        <f>((((($T$26*$T$27)/1000)*7)-$T$19)/5)</f>
        <v>38.779000000000003</v>
      </c>
      <c r="U22" s="19">
        <f>((((($U$26*$U$27)/1000)*7)-$U$19)/5)</f>
        <v>30.834399999999999</v>
      </c>
      <c r="V22" s="19">
        <f>((((($V$26*$V$27)/1000)*7)-$V$19)/5)</f>
        <v>21.948599999999999</v>
      </c>
      <c r="W22" s="19">
        <f>((((($W$26*$W$27)/1000)*7)-$W$19)/5)</f>
        <v>21.093200000000003</v>
      </c>
      <c r="X22" s="20"/>
      <c r="Y22" s="98">
        <f t="shared" si="0"/>
        <v>602.35149999999999</v>
      </c>
      <c r="AA22" s="2"/>
      <c r="AB22" s="15"/>
    </row>
    <row r="23" spans="1:35" ht="39.950000000000003" customHeight="1" x14ac:dyDescent="0.25">
      <c r="A23" s="146" t="s">
        <v>22</v>
      </c>
      <c r="B23" s="18">
        <f>(((($B$26*$B$27)/1000)*7)-$B$19)/5</f>
        <v>31.079000000000001</v>
      </c>
      <c r="C23" s="19">
        <f>((((($C$26*$C$27)/1000)*7)-$C$19)/5)</f>
        <v>24.839999999999996</v>
      </c>
      <c r="D23" s="19">
        <f>((((($D$26*$D$27)/1000)*7)-$D$19)/5)</f>
        <v>24.839999999999996</v>
      </c>
      <c r="E23" s="19">
        <f>((((($E$26*$E$27)/1000)*7)-$E$19)/5)</f>
        <v>26.907599999999995</v>
      </c>
      <c r="F23" s="19">
        <f>((((($F$26*$F$27)/1000)*7)-$F$19)/5)</f>
        <v>26.9664</v>
      </c>
      <c r="G23" s="19">
        <f>((((($G$26*$G$27)/1000)*7)-$G$19)/5)</f>
        <v>26.907599999999995</v>
      </c>
      <c r="H23" s="19">
        <f>((((($H$26*$H$27)/1000)*7)-$H$19)/5)</f>
        <v>29.432300000000005</v>
      </c>
      <c r="I23" s="19">
        <f>((((($I$26*$I$27)/1000)*7)-$I$19)/5)</f>
        <v>29.374200000000002</v>
      </c>
      <c r="J23" s="19">
        <f>((((($J$26*$J$27)/1000)*7)-$J$19)/5)</f>
        <v>24.189800000000002</v>
      </c>
      <c r="K23" s="19">
        <f>((((($K$26*$K$27)/1000)*7)-$K$19)/5)</f>
        <v>24.191800000000001</v>
      </c>
      <c r="L23" s="19">
        <f>((((($L$26*$L$27)/1000)*7)-$L$19)/5)</f>
        <v>33.392000000000003</v>
      </c>
      <c r="M23" s="19">
        <f>((((($M$26*$M$27)/1000)*7)-$M$19)/5)</f>
        <v>25.650200000000002</v>
      </c>
      <c r="N23" s="20">
        <f>((((($N$26*$N$27)/1000)*7)-$N$19)/5)</f>
        <v>10.9726</v>
      </c>
      <c r="O23" s="61">
        <f>((((($O$26*$O$27)/1000)*7)-$O$19)/5)</f>
        <v>13.548000000000002</v>
      </c>
      <c r="P23" s="19">
        <f>((((($P$26*$P$27)/1000)*7)-$P$19)/5)</f>
        <v>39.129599999999996</v>
      </c>
      <c r="Q23" s="19">
        <f>((((($Q$26*$Q$27)/1000)*7)-$Q$19)/5)</f>
        <v>28.839000000000006</v>
      </c>
      <c r="R23" s="19">
        <f>((((($R$26*$R$27)/1000)*7)-$R$19)/5)</f>
        <v>28.839000000000006</v>
      </c>
      <c r="S23" s="19">
        <f>((((($S$26*$S$27)/1000)*7)-$S$19)/5)</f>
        <v>40.597200000000001</v>
      </c>
      <c r="T23" s="19">
        <f>((((($T$26*$T$27)/1000)*7)-$T$19)/5)</f>
        <v>38.779000000000003</v>
      </c>
      <c r="U23" s="19">
        <f>((((($U$26*$U$27)/1000)*7)-$U$19)/5)</f>
        <v>30.834399999999999</v>
      </c>
      <c r="V23" s="19">
        <f>((((($V$26*$V$27)/1000)*7)-$V$19)/5)</f>
        <v>21.948599999999999</v>
      </c>
      <c r="W23" s="19">
        <f>((((($W$26*$W$27)/1000)*7)-$W$19)/5)</f>
        <v>21.093200000000003</v>
      </c>
      <c r="X23" s="20"/>
      <c r="Y23" s="98">
        <f t="shared" si="0"/>
        <v>602.35149999999999</v>
      </c>
      <c r="AA23" s="2"/>
      <c r="AB23" s="15"/>
    </row>
    <row r="24" spans="1:35" ht="39.950000000000003" customHeight="1" x14ac:dyDescent="0.25">
      <c r="A24" s="146" t="s">
        <v>23</v>
      </c>
      <c r="B24" s="18">
        <f>(((($B$26*$B$27)/1000)*7)-$B$19)/5</f>
        <v>31.079000000000001</v>
      </c>
      <c r="C24" s="19">
        <f>((((($C$26*$C$27)/1000)*7)-$C$19)/5)</f>
        <v>24.839999999999996</v>
      </c>
      <c r="D24" s="19">
        <f>((((($D$26*$D$27)/1000)*7)-$D$19)/5)</f>
        <v>24.839999999999996</v>
      </c>
      <c r="E24" s="19">
        <v>26.9</v>
      </c>
      <c r="F24" s="19">
        <f>((((($F$26*$F$27)/1000)*7)-$F$19)/5)</f>
        <v>26.9664</v>
      </c>
      <c r="G24" s="19">
        <f>((((($G$26*$G$27)/1000)*7)-$G$19)/5)</f>
        <v>26.907599999999995</v>
      </c>
      <c r="H24" s="19">
        <f>((((($H$26*$H$27)/1000)*7)-$H$19)/5)</f>
        <v>29.432300000000005</v>
      </c>
      <c r="I24" s="19">
        <f>((((($I$26*$I$27)/1000)*7)-$I$19)/5)</f>
        <v>29.374200000000002</v>
      </c>
      <c r="J24" s="19">
        <f>((((($J$26*$J$27)/1000)*7)-$J$19)/5)</f>
        <v>24.189800000000002</v>
      </c>
      <c r="K24" s="19">
        <f>((((($K$26*$K$27)/1000)*7)-$K$19)/5)</f>
        <v>24.191800000000001</v>
      </c>
      <c r="L24" s="19">
        <f>((((($L$26*$L$27)/1000)*7)-$L$19)/5)</f>
        <v>33.392000000000003</v>
      </c>
      <c r="M24" s="19">
        <f>((((($M$26*$M$27)/1000)*7)-$M$19)/5)</f>
        <v>25.650200000000002</v>
      </c>
      <c r="N24" s="20">
        <f>((((($N$26*$N$27)/1000)*7)-$N$19)/5)</f>
        <v>10.9726</v>
      </c>
      <c r="O24" s="61">
        <f>((((($O$26*$O$27)/1000)*7)-$O$19)/5)</f>
        <v>13.548000000000002</v>
      </c>
      <c r="P24" s="19">
        <f>((((($P$26*$P$27)/1000)*7)-$P$19)/5)</f>
        <v>39.129599999999996</v>
      </c>
      <c r="Q24" s="19">
        <f>((((($Q$26*$Q$27)/1000)*7)-$Q$19)/5)</f>
        <v>28.839000000000006</v>
      </c>
      <c r="R24" s="19">
        <f>((((($R$26*$R$27)/1000)*7)-$R$19)/5)</f>
        <v>28.839000000000006</v>
      </c>
      <c r="S24" s="19">
        <f>((((($S$26*$S$27)/1000)*7)-$S$19)/5)</f>
        <v>40.597200000000001</v>
      </c>
      <c r="T24" s="19">
        <f>((((($T$26*$T$27)/1000)*7)-$T$19)/5)</f>
        <v>38.779000000000003</v>
      </c>
      <c r="U24" s="19">
        <f>((((($U$26*$U$27)/1000)*7)-$U$19)/5)</f>
        <v>30.834399999999999</v>
      </c>
      <c r="V24" s="19">
        <f>((((($V$26*$V$27)/1000)*7)-$V$19)/5)</f>
        <v>21.948599999999999</v>
      </c>
      <c r="W24" s="19">
        <f>((((($W$26*$W$27)/1000)*7)-$W$19)/5)</f>
        <v>21.093200000000003</v>
      </c>
      <c r="X24" s="20"/>
      <c r="Y24" s="98">
        <f t="shared" si="0"/>
        <v>602.34389999999985</v>
      </c>
      <c r="AA24" s="2"/>
    </row>
    <row r="25" spans="1:35" ht="41.45" customHeight="1" x14ac:dyDescent="0.25">
      <c r="A25" s="182" t="s">
        <v>9</v>
      </c>
      <c r="B25" s="21">
        <f>SUM(B18:B24)</f>
        <v>179.09500000000003</v>
      </c>
      <c r="C25" s="22">
        <f>SUM(C18:C24)</f>
        <v>142.80000000000001</v>
      </c>
      <c r="D25" s="22">
        <f>SUM(D18:D24)</f>
        <v>142.80000000000001</v>
      </c>
      <c r="E25" s="22">
        <f>SUM(E18:E24)</f>
        <v>154.93039999999999</v>
      </c>
      <c r="F25" s="22">
        <f>SUM(F18:F24)</f>
        <v>155.23199999999997</v>
      </c>
      <c r="G25" s="22">
        <f t="shared" ref="G25:W25" si="1">SUM(G18:G24)</f>
        <v>154.93799999999999</v>
      </c>
      <c r="H25" s="22">
        <f t="shared" si="1"/>
        <v>169.36150000000001</v>
      </c>
      <c r="I25" s="22">
        <f t="shared" si="1"/>
        <v>169.071</v>
      </c>
      <c r="J25" s="22">
        <f>SUM(J18:J24)</f>
        <v>138.85900000000001</v>
      </c>
      <c r="K25" s="22">
        <f t="shared" si="1"/>
        <v>138.85900000000001</v>
      </c>
      <c r="L25" s="22">
        <f t="shared" si="1"/>
        <v>192.35999999999999</v>
      </c>
      <c r="M25" s="22">
        <f t="shared" si="1"/>
        <v>147.65100000000001</v>
      </c>
      <c r="N25" s="153">
        <f t="shared" si="1"/>
        <v>63.063000000000002</v>
      </c>
      <c r="O25" s="62">
        <f t="shared" si="1"/>
        <v>78.540000000000006</v>
      </c>
      <c r="P25" s="22">
        <f t="shared" si="1"/>
        <v>226.54799999999994</v>
      </c>
      <c r="Q25" s="22">
        <f t="shared" si="1"/>
        <v>167.19500000000002</v>
      </c>
      <c r="R25" s="22">
        <f t="shared" si="1"/>
        <v>167.19500000000002</v>
      </c>
      <c r="S25" s="19">
        <f t="shared" si="1"/>
        <v>235.88599999999997</v>
      </c>
      <c r="T25" s="19">
        <f t="shared" si="1"/>
        <v>225.29499999999999</v>
      </c>
      <c r="U25" s="19">
        <f t="shared" si="1"/>
        <v>179.172</v>
      </c>
      <c r="V25" s="19">
        <f t="shared" si="1"/>
        <v>127.74299999999999</v>
      </c>
      <c r="W25" s="19">
        <f t="shared" si="1"/>
        <v>122.76600000000002</v>
      </c>
      <c r="X25" s="20"/>
      <c r="Y25" s="98">
        <f>SUM(Y18:Y24)</f>
        <v>3479.3598999999995</v>
      </c>
    </row>
    <row r="26" spans="1:35" s="2" customFormat="1" ht="36.75" customHeight="1" x14ac:dyDescent="0.25">
      <c r="A26" s="148" t="s">
        <v>11</v>
      </c>
      <c r="B26" s="23">
        <v>43</v>
      </c>
      <c r="C26" s="24">
        <v>42.5</v>
      </c>
      <c r="D26" s="24">
        <v>42.5</v>
      </c>
      <c r="E26" s="24">
        <v>42</v>
      </c>
      <c r="F26" s="24">
        <v>42</v>
      </c>
      <c r="G26" s="24">
        <v>42</v>
      </c>
      <c r="H26" s="24">
        <v>41.5</v>
      </c>
      <c r="I26" s="24">
        <v>41.5</v>
      </c>
      <c r="J26" s="24">
        <v>41.5</v>
      </c>
      <c r="K26" s="24">
        <v>41.5</v>
      </c>
      <c r="L26" s="24">
        <v>40</v>
      </c>
      <c r="M26" s="24">
        <v>39.5</v>
      </c>
      <c r="N26" s="25">
        <v>39</v>
      </c>
      <c r="O26" s="63">
        <v>44</v>
      </c>
      <c r="P26" s="24">
        <v>43.5</v>
      </c>
      <c r="Q26" s="24">
        <v>42.5</v>
      </c>
      <c r="R26" s="24">
        <v>42.5</v>
      </c>
      <c r="S26" s="24">
        <v>41.5</v>
      </c>
      <c r="T26" s="24">
        <v>41</v>
      </c>
      <c r="U26" s="24">
        <v>40.5</v>
      </c>
      <c r="V26" s="24">
        <v>39.5</v>
      </c>
      <c r="W26" s="24">
        <v>39.5</v>
      </c>
      <c r="X26" s="25"/>
      <c r="Y26" s="99">
        <f>((Y25/Y27)/7)*1000</f>
        <v>41.531702396867828</v>
      </c>
    </row>
    <row r="27" spans="1:35" s="2" customFormat="1" ht="33" customHeight="1" x14ac:dyDescent="0.25">
      <c r="A27" s="149" t="s">
        <v>12</v>
      </c>
      <c r="B27" s="26">
        <v>595</v>
      </c>
      <c r="C27" s="27">
        <v>480</v>
      </c>
      <c r="D27" s="27">
        <v>480</v>
      </c>
      <c r="E27" s="27">
        <v>527</v>
      </c>
      <c r="F27" s="27">
        <v>528</v>
      </c>
      <c r="G27" s="27">
        <v>527</v>
      </c>
      <c r="H27" s="27">
        <v>583</v>
      </c>
      <c r="I27" s="27">
        <v>582</v>
      </c>
      <c r="J27" s="27">
        <v>478</v>
      </c>
      <c r="K27" s="27">
        <v>478</v>
      </c>
      <c r="L27" s="27">
        <v>687</v>
      </c>
      <c r="M27" s="27">
        <v>534</v>
      </c>
      <c r="N27" s="28">
        <v>231</v>
      </c>
      <c r="O27" s="64">
        <v>255</v>
      </c>
      <c r="P27" s="27">
        <v>744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SUM(B27,C27,D27,E27,F27,G27,H27,I27,J27,K27,L27,M27,N27,O27,P27,Q27,R27,S27,T27,U27,V27,W27)</f>
        <v>11968</v>
      </c>
    </row>
    <row r="28" spans="1:35" s="2" customFormat="1" ht="33" customHeight="1" x14ac:dyDescent="0.25">
      <c r="A28" s="150" t="s">
        <v>13</v>
      </c>
      <c r="B28" s="30">
        <f>(B27*B26)/1000</f>
        <v>25.585000000000001</v>
      </c>
      <c r="C28" s="31">
        <f>(C27*C26)/1000</f>
        <v>20.399999999999999</v>
      </c>
      <c r="D28" s="31">
        <f>(D27*D26)/1000</f>
        <v>20.399999999999999</v>
      </c>
      <c r="E28" s="31">
        <f>(E27*E26)/1000</f>
        <v>22.134</v>
      </c>
      <c r="F28" s="31">
        <f>(F27*F26)/1000</f>
        <v>22.175999999999998</v>
      </c>
      <c r="G28" s="31">
        <f t="shared" ref="G28:W28" si="2">(G27*G26)/1000</f>
        <v>22.134</v>
      </c>
      <c r="H28" s="31">
        <f t="shared" si="2"/>
        <v>24.194500000000001</v>
      </c>
      <c r="I28" s="31">
        <f t="shared" si="2"/>
        <v>24.152999999999999</v>
      </c>
      <c r="J28" s="31">
        <f t="shared" si="2"/>
        <v>19.837</v>
      </c>
      <c r="K28" s="31">
        <f t="shared" si="2"/>
        <v>19.837</v>
      </c>
      <c r="L28" s="31">
        <f t="shared" si="2"/>
        <v>27.48</v>
      </c>
      <c r="M28" s="31">
        <f t="shared" si="2"/>
        <v>21.093</v>
      </c>
      <c r="N28" s="32">
        <f t="shared" si="2"/>
        <v>9.0090000000000003</v>
      </c>
      <c r="O28" s="65">
        <f t="shared" si="2"/>
        <v>11.22</v>
      </c>
      <c r="P28" s="31">
        <f t="shared" si="2"/>
        <v>32.363999999999997</v>
      </c>
      <c r="Q28" s="31">
        <f t="shared" si="2"/>
        <v>23.885000000000002</v>
      </c>
      <c r="R28" s="31">
        <f t="shared" si="2"/>
        <v>23.885000000000002</v>
      </c>
      <c r="S28" s="31">
        <f t="shared" si="2"/>
        <v>33.698</v>
      </c>
      <c r="T28" s="31">
        <f t="shared" si="2"/>
        <v>32.185000000000002</v>
      </c>
      <c r="U28" s="31">
        <f t="shared" si="2"/>
        <v>25.596</v>
      </c>
      <c r="V28" s="31">
        <f t="shared" si="2"/>
        <v>18.248999999999999</v>
      </c>
      <c r="W28" s="31">
        <f t="shared" si="2"/>
        <v>17.538</v>
      </c>
      <c r="X28" s="32"/>
      <c r="Y28" s="33"/>
    </row>
    <row r="29" spans="1:35" ht="33.75" customHeight="1" x14ac:dyDescent="0.25">
      <c r="A29" s="151" t="s">
        <v>14</v>
      </c>
      <c r="B29" s="34">
        <f>((B27*B26)*7)/1000</f>
        <v>179.095</v>
      </c>
      <c r="C29" s="35">
        <f t="shared" ref="C29:N29" si="3">((C27*C26)*6)/1000</f>
        <v>122.4</v>
      </c>
      <c r="D29" s="35">
        <f t="shared" si="3"/>
        <v>122.4</v>
      </c>
      <c r="E29" s="35">
        <f t="shared" si="3"/>
        <v>132.804</v>
      </c>
      <c r="F29" s="35">
        <f t="shared" si="3"/>
        <v>133.05600000000001</v>
      </c>
      <c r="G29" s="35">
        <f t="shared" si="3"/>
        <v>132.804</v>
      </c>
      <c r="H29" s="35">
        <f t="shared" si="3"/>
        <v>145.167</v>
      </c>
      <c r="I29" s="35">
        <f t="shared" si="3"/>
        <v>144.91800000000001</v>
      </c>
      <c r="J29" s="35">
        <f t="shared" si="3"/>
        <v>119.02200000000001</v>
      </c>
      <c r="K29" s="35">
        <f t="shared" si="3"/>
        <v>119.02200000000001</v>
      </c>
      <c r="L29" s="35">
        <f t="shared" si="3"/>
        <v>164.88</v>
      </c>
      <c r="M29" s="35">
        <f t="shared" si="3"/>
        <v>126.55800000000001</v>
      </c>
      <c r="N29" s="68">
        <f t="shared" si="3"/>
        <v>54.054000000000002</v>
      </c>
      <c r="O29" s="66">
        <f t="shared" ref="O29:W29" si="4">((O27*O26)*4)/1000</f>
        <v>44.88</v>
      </c>
      <c r="P29" s="35">
        <f t="shared" si="4"/>
        <v>129.45599999999999</v>
      </c>
      <c r="Q29" s="35">
        <f t="shared" si="4"/>
        <v>95.54</v>
      </c>
      <c r="R29" s="35">
        <f t="shared" si="4"/>
        <v>95.54</v>
      </c>
      <c r="S29" s="35">
        <f t="shared" si="4"/>
        <v>134.792</v>
      </c>
      <c r="T29" s="35">
        <f t="shared" si="4"/>
        <v>128.74</v>
      </c>
      <c r="U29" s="35">
        <f t="shared" si="4"/>
        <v>102.384</v>
      </c>
      <c r="V29" s="35">
        <f t="shared" si="4"/>
        <v>72.995999999999995</v>
      </c>
      <c r="W29" s="35">
        <f t="shared" si="4"/>
        <v>70.152000000000001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43</v>
      </c>
      <c r="C30" s="38">
        <f t="shared" si="5"/>
        <v>42.5</v>
      </c>
      <c r="D30" s="38">
        <f t="shared" si="5"/>
        <v>42.5</v>
      </c>
      <c r="E30" s="38">
        <f t="shared" si="5"/>
        <v>41.997939821089723</v>
      </c>
      <c r="F30" s="38">
        <f t="shared" si="5"/>
        <v>41.999999999999986</v>
      </c>
      <c r="G30" s="38">
        <f t="shared" si="5"/>
        <v>41.999999999999993</v>
      </c>
      <c r="H30" s="38">
        <f t="shared" si="5"/>
        <v>41.5</v>
      </c>
      <c r="I30" s="38">
        <f t="shared" si="5"/>
        <v>41.499999999999993</v>
      </c>
      <c r="J30" s="38">
        <f t="shared" si="5"/>
        <v>41.5</v>
      </c>
      <c r="K30" s="38">
        <f t="shared" si="5"/>
        <v>41.5</v>
      </c>
      <c r="L30" s="38">
        <f t="shared" si="5"/>
        <v>39.999999999999993</v>
      </c>
      <c r="M30" s="38">
        <f t="shared" si="5"/>
        <v>39.5</v>
      </c>
      <c r="N30" s="39">
        <f t="shared" si="5"/>
        <v>39</v>
      </c>
      <c r="O30" s="67">
        <f t="shared" si="5"/>
        <v>44.000000000000007</v>
      </c>
      <c r="P30" s="38">
        <f t="shared" si="5"/>
        <v>43.499999999999993</v>
      </c>
      <c r="Q30" s="38">
        <f t="shared" si="5"/>
        <v>42.5</v>
      </c>
      <c r="R30" s="38">
        <f t="shared" si="5"/>
        <v>42.5</v>
      </c>
      <c r="S30" s="38">
        <f t="shared" si="5"/>
        <v>41.499999999999993</v>
      </c>
      <c r="T30" s="38">
        <f t="shared" si="5"/>
        <v>40.999999999999993</v>
      </c>
      <c r="U30" s="38">
        <f t="shared" si="5"/>
        <v>40.499999999999993</v>
      </c>
      <c r="V30" s="38">
        <f t="shared" si="5"/>
        <v>39.499999999999993</v>
      </c>
      <c r="W30" s="38">
        <f t="shared" si="5"/>
        <v>39.5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31" t="s">
        <v>17</v>
      </c>
      <c r="C36" s="1032"/>
      <c r="D36" s="1032"/>
      <c r="E36" s="1032"/>
      <c r="F36" s="1032"/>
      <c r="G36" s="1032"/>
      <c r="H36" s="1033"/>
      <c r="I36" s="177"/>
      <c r="O36" s="44"/>
      <c r="P36" s="88" t="s">
        <v>18</v>
      </c>
      <c r="Q36" s="1016" t="s">
        <v>17</v>
      </c>
      <c r="R36" s="1016"/>
      <c r="S36" s="1016"/>
      <c r="T36" s="1016"/>
      <c r="U36" s="1017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21" t="s">
        <v>27</v>
      </c>
      <c r="M37" s="1021"/>
      <c r="N37" s="1021"/>
      <c r="O37" s="1021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>
        <v>35.200000000000003</v>
      </c>
      <c r="K39" s="49"/>
      <c r="L39" s="89"/>
      <c r="M39" s="89"/>
      <c r="N39" s="89"/>
      <c r="O39" s="90"/>
      <c r="P39" s="96" t="s">
        <v>51</v>
      </c>
      <c r="Q39" s="101">
        <v>350.2</v>
      </c>
      <c r="R39" s="101">
        <v>77.599999999999994</v>
      </c>
      <c r="S39" s="101"/>
      <c r="T39" s="101"/>
      <c r="U39" s="101"/>
      <c r="V39" s="77">
        <f t="shared" ref="V39:V46" si="7">SUM(Q39:U39)</f>
        <v>427.79999999999995</v>
      </c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22.1</v>
      </c>
      <c r="D40" s="19">
        <v>30</v>
      </c>
      <c r="E40" s="19">
        <v>16.100000000000001</v>
      </c>
      <c r="F40" s="19">
        <v>16.2</v>
      </c>
      <c r="G40" s="19">
        <v>25.3</v>
      </c>
      <c r="H40" s="20">
        <v>16.3</v>
      </c>
      <c r="I40" s="127">
        <f t="shared" si="6"/>
        <v>139.9</v>
      </c>
      <c r="J40" s="49"/>
      <c r="K40" s="49"/>
      <c r="L40" s="89"/>
      <c r="M40" s="89"/>
      <c r="N40" s="89"/>
      <c r="O40" s="90"/>
      <c r="P40" s="96" t="s">
        <v>24</v>
      </c>
      <c r="Q40" s="101">
        <v>350.2</v>
      </c>
      <c r="R40" s="101">
        <v>77.599999999999994</v>
      </c>
      <c r="S40" s="101"/>
      <c r="T40" s="101"/>
      <c r="U40" s="101"/>
      <c r="V40" s="77">
        <f t="shared" si="7"/>
        <v>427.79999999999995</v>
      </c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((((($B$47*$B$48)/1000)*7)-$B$40)/5)</f>
        <v>17.716699999999996</v>
      </c>
      <c r="C41" s="19">
        <f>((((($C$47*$C$48)/1000)*7)-$C$40)/5)</f>
        <v>29.3368</v>
      </c>
      <c r="D41" s="19">
        <f>((((($D$48*$D$47)/1000)*7)-$D$40)/5)</f>
        <v>39.451000000000008</v>
      </c>
      <c r="E41" s="19">
        <f>((((($E$47*$E$48)/1000)*7)-$E$40)/5)</f>
        <v>21.475999999999999</v>
      </c>
      <c r="F41" s="19">
        <f>((((($F$47*$F$48)/1000)*7)-$F$40)/5)</f>
        <v>21.514799999999997</v>
      </c>
      <c r="G41" s="19">
        <f>((((($G$47*$G$48)/1000)*7)-$G$40)/5)</f>
        <v>33.692699999999995</v>
      </c>
      <c r="H41" s="20">
        <f>((((($H$47*$H$48)/1000)*7)-$H$40)/5)</f>
        <v>21.5746</v>
      </c>
      <c r="I41" s="127">
        <f t="shared" si="6"/>
        <v>184.76260000000002</v>
      </c>
      <c r="J41" s="49"/>
      <c r="K41" s="49"/>
      <c r="L41" s="89"/>
      <c r="M41" s="89"/>
      <c r="N41" s="89"/>
      <c r="O41" s="90"/>
      <c r="P41" s="96" t="s">
        <v>20</v>
      </c>
      <c r="Q41" s="101">
        <f>((((($Q$48*$Q$47)/1000)*7)-$Q$39-$Q$40)/5)</f>
        <v>153.0662659999999</v>
      </c>
      <c r="R41" s="101">
        <f>((((($R$47*$R$48)/1000)*7)-$R$39-$R$40)/5)</f>
        <v>34.62384999999999</v>
      </c>
      <c r="S41" s="101"/>
      <c r="T41" s="101"/>
      <c r="U41" s="101"/>
      <c r="V41" s="77">
        <f t="shared" si="7"/>
        <v>187.69011599999988</v>
      </c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((((($B$47*$B$48)/1000)*7)-$B$40)/5)</f>
        <v>17.716699999999996</v>
      </c>
      <c r="C42" s="19">
        <f>((((($C$47*$C$48)/1000)*7)-$C$40)/5)</f>
        <v>29.3368</v>
      </c>
      <c r="D42" s="19">
        <f>((((($D$48*$D$47)/1000)*7)-$D$40)/5)</f>
        <v>39.451000000000008</v>
      </c>
      <c r="E42" s="19">
        <f>((((($E$47*$E$48)/1000)*7)-$E$40)/5)</f>
        <v>21.475999999999999</v>
      </c>
      <c r="F42" s="19">
        <f>((((($F$47*$F$48)/1000)*7)-$F$40)/5)</f>
        <v>21.514799999999997</v>
      </c>
      <c r="G42" s="19">
        <f>((((($G$47*$G$48)/1000)*7)-$G$40)/5)</f>
        <v>33.692699999999995</v>
      </c>
      <c r="H42" s="20">
        <f>((((($H$47*$H$48)/1000)*7)-$H$40)/5)</f>
        <v>21.5746</v>
      </c>
      <c r="I42" s="127">
        <f t="shared" si="6"/>
        <v>184.76260000000002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((((($Q$48*$Q$47)/1000)*7)-$Q$39-$Q$40)/5)</f>
        <v>153.0662659999999</v>
      </c>
      <c r="R42" s="101">
        <f>((((($R$47*$R$48)/1000)*7)-$R$39-$R$40)/5)</f>
        <v>34.62384999999999</v>
      </c>
      <c r="S42" s="101"/>
      <c r="T42" s="101"/>
      <c r="U42" s="101"/>
      <c r="V42" s="77">
        <f t="shared" si="7"/>
        <v>187.69011599999988</v>
      </c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((((($B$47*$B$48)/1000)*7)-$B$40)/5)</f>
        <v>17.716699999999996</v>
      </c>
      <c r="C43" s="19">
        <f>((((($C$47*$C$48)/1000)*7)-$C$40)/5)</f>
        <v>29.3368</v>
      </c>
      <c r="D43" s="19">
        <f>((((($D$48*$D$47)/1000)*7)-$D$40)/5)</f>
        <v>39.451000000000008</v>
      </c>
      <c r="E43" s="19">
        <f>((((($E$47*$E$48)/1000)*7)-$E$40)/5)</f>
        <v>21.475999999999999</v>
      </c>
      <c r="F43" s="19">
        <f>((((($F$47*$F$48)/1000)*7)-$F$40)/5)</f>
        <v>21.514799999999997</v>
      </c>
      <c r="G43" s="19">
        <f>((((($G$47*$G$48)/1000)*7)-$G$40)/5)</f>
        <v>33.692699999999995</v>
      </c>
      <c r="H43" s="20">
        <f>((((($H$47*$H$48)/1000)*7)-$H$40)/5)</f>
        <v>21.5746</v>
      </c>
      <c r="I43" s="127">
        <f t="shared" si="6"/>
        <v>184.76260000000002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((((($Q$48*$Q$47)/1000)*7)-$Q$39-$Q$40)/5)</f>
        <v>153.0662659999999</v>
      </c>
      <c r="R43" s="101">
        <f>((((($R$47*$R$48)/1000)*7)-$R$39-$R$40)/5)</f>
        <v>34.62384999999999</v>
      </c>
      <c r="S43" s="101"/>
      <c r="T43" s="101"/>
      <c r="U43" s="101"/>
      <c r="V43" s="77">
        <f t="shared" si="7"/>
        <v>187.69011599999988</v>
      </c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((((($B$47*$B$48)/1000)*7)-$B$40)/5)</f>
        <v>17.716699999999996</v>
      </c>
      <c r="C44" s="19">
        <f>((((($C$47*$C$48)/1000)*7)-$C$40)/5)</f>
        <v>29.3368</v>
      </c>
      <c r="D44" s="19">
        <f>((((($D$48*$D$47)/1000)*7)-$D$40)/5)</f>
        <v>39.451000000000008</v>
      </c>
      <c r="E44" s="19">
        <f>((((($E$47*$E$48)/1000)*7)-$E$40)/5)</f>
        <v>21.475999999999999</v>
      </c>
      <c r="F44" s="19">
        <f>((((($F$47*$F$48)/1000)*7)-$F$40)/5)</f>
        <v>21.514799999999997</v>
      </c>
      <c r="G44" s="19">
        <f>((((($G$47*$G$48)/1000)*7)-$G$40)/5)</f>
        <v>33.692699999999995</v>
      </c>
      <c r="H44" s="20">
        <f>((((($H$47*$H$48)/1000)*7)-$H$40)/5)</f>
        <v>21.5746</v>
      </c>
      <c r="I44" s="127">
        <f t="shared" si="6"/>
        <v>184.76260000000002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((((($Q$48*$Q$47)/1000)*7)-$Q$39-$Q$40)/5)</f>
        <v>153.0662659999999</v>
      </c>
      <c r="R44" s="101">
        <f>((((($R$47*$R$48)/1000)*7)-$R$39-$R$40)/5)</f>
        <v>34.62384999999999</v>
      </c>
      <c r="S44" s="101"/>
      <c r="T44" s="101"/>
      <c r="U44" s="101"/>
      <c r="V44" s="77">
        <f t="shared" si="7"/>
        <v>187.69011599999988</v>
      </c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((((($B$47*$B$48)/1000)*7)-$B$40)/5)</f>
        <v>17.716699999999996</v>
      </c>
      <c r="C45" s="19">
        <f>((((($C$47*$C$48)/1000)*7)-$C$40)/5)</f>
        <v>29.3368</v>
      </c>
      <c r="D45" s="19">
        <f>((((($D$48*$D$47)/1000)*7)-$D$40)/5)</f>
        <v>39.451000000000008</v>
      </c>
      <c r="E45" s="19">
        <f>((((($E$47*$E$48)/1000)*7)-$E$40)/5)</f>
        <v>21.475999999999999</v>
      </c>
      <c r="F45" s="19">
        <f>((((($F$47*$F$48)/1000)*7)-$F$40)/5)</f>
        <v>21.514799999999997</v>
      </c>
      <c r="G45" s="19">
        <f>((((($G$47*$G$48)/1000)*7)-$G$40)/5)</f>
        <v>33.692699999999995</v>
      </c>
      <c r="H45" s="20">
        <f>((((($H$47*$H$48)/1000)*7)-$H$40)/5)</f>
        <v>21.5746</v>
      </c>
      <c r="I45" s="127">
        <f t="shared" si="6"/>
        <v>184.76260000000002</v>
      </c>
      <c r="K45" s="49"/>
      <c r="L45" s="89"/>
      <c r="M45" s="89"/>
      <c r="N45" s="89"/>
      <c r="O45" s="90"/>
      <c r="P45" s="96" t="s">
        <v>23</v>
      </c>
      <c r="Q45" s="101">
        <f>((((($Q$48*$Q$47)/1000)*7)-$Q$39-$Q$40)/5)</f>
        <v>153.0662659999999</v>
      </c>
      <c r="R45" s="101">
        <f>((((($R$47*$R$48)/1000)*7)-$R$39-$R$40)/5)</f>
        <v>34.62384999999999</v>
      </c>
      <c r="S45" s="101"/>
      <c r="T45" s="101"/>
      <c r="U45" s="101"/>
      <c r="V45" s="77">
        <f t="shared" si="7"/>
        <v>187.69011599999988</v>
      </c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102.48349999999999</v>
      </c>
      <c r="C46" s="22">
        <f t="shared" si="8"/>
        <v>168.78400000000002</v>
      </c>
      <c r="D46" s="22">
        <f t="shared" si="8"/>
        <v>227.25500000000005</v>
      </c>
      <c r="E46" s="22">
        <f t="shared" si="8"/>
        <v>123.47999999999999</v>
      </c>
      <c r="F46" s="22">
        <f t="shared" si="8"/>
        <v>123.77399999999997</v>
      </c>
      <c r="G46" s="22">
        <f t="shared" si="8"/>
        <v>193.76349999999999</v>
      </c>
      <c r="H46" s="153">
        <f t="shared" si="8"/>
        <v>124.17300000000002</v>
      </c>
      <c r="I46" s="127">
        <f t="shared" si="6"/>
        <v>1063.7130000000002</v>
      </c>
      <c r="J46" s="45"/>
      <c r="K46" s="49"/>
      <c r="L46" s="49"/>
      <c r="M46" s="49"/>
      <c r="N46" s="49"/>
      <c r="P46" s="80" t="s">
        <v>9</v>
      </c>
      <c r="Q46" s="62">
        <f>SUM(Q39:Q45)</f>
        <v>1465.7313299999994</v>
      </c>
      <c r="R46" s="22">
        <f>SUM(R39:R45)</f>
        <v>328.31925000000001</v>
      </c>
      <c r="S46" s="22"/>
      <c r="T46" s="22"/>
      <c r="U46" s="22"/>
      <c r="V46" s="77">
        <f t="shared" si="7"/>
        <v>1794.0505799999994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44.5</v>
      </c>
      <c r="C47" s="24">
        <v>44</v>
      </c>
      <c r="D47" s="24">
        <v>43</v>
      </c>
      <c r="E47" s="24">
        <v>42</v>
      </c>
      <c r="F47" s="24">
        <v>42</v>
      </c>
      <c r="G47" s="24">
        <v>41.5</v>
      </c>
      <c r="H47" s="25">
        <v>40.5</v>
      </c>
      <c r="I47" s="128">
        <f>+((I46/I48)/7)*1000</f>
        <v>42.470374510899951</v>
      </c>
      <c r="J47" s="42"/>
      <c r="K47" s="50"/>
      <c r="L47" s="49"/>
      <c r="M47" s="49"/>
      <c r="N47" s="49"/>
      <c r="P47" s="93" t="s">
        <v>11</v>
      </c>
      <c r="Q47" s="63">
        <v>81.569999999999993</v>
      </c>
      <c r="R47" s="24">
        <v>81.569999999999993</v>
      </c>
      <c r="S47" s="24"/>
      <c r="T47" s="24"/>
      <c r="U47" s="24"/>
      <c r="V47" s="78">
        <f>+((V46/V48)/7)*1000</f>
        <v>81.569999999999965</v>
      </c>
      <c r="W47" s="50"/>
      <c r="X47" s="50"/>
    </row>
    <row r="48" spans="1:35" ht="33.75" customHeight="1" x14ac:dyDescent="0.25">
      <c r="A48" s="149" t="s">
        <v>12</v>
      </c>
      <c r="B48" s="26">
        <v>329</v>
      </c>
      <c r="C48" s="27">
        <v>548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3578</v>
      </c>
      <c r="J48" s="42"/>
      <c r="K48" s="191"/>
      <c r="L48" s="49"/>
      <c r="M48" s="49"/>
      <c r="N48" s="49"/>
      <c r="O48" s="51"/>
      <c r="P48" s="71" t="s">
        <v>12</v>
      </c>
      <c r="Q48" s="79">
        <v>2567</v>
      </c>
      <c r="R48" s="79">
        <v>575</v>
      </c>
      <c r="S48" s="79"/>
      <c r="T48" s="79"/>
      <c r="U48" s="79"/>
      <c r="V48" s="82">
        <f>SUM(Q48:U48)</f>
        <v>3142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14.640499999999999</v>
      </c>
      <c r="C49" s="31">
        <f t="shared" si="9"/>
        <v>24.111999999999998</v>
      </c>
      <c r="D49" s="31">
        <f t="shared" si="9"/>
        <v>32.465000000000003</v>
      </c>
      <c r="E49" s="31">
        <f t="shared" si="9"/>
        <v>17.64</v>
      </c>
      <c r="F49" s="31">
        <f t="shared" si="9"/>
        <v>17.681999999999999</v>
      </c>
      <c r="G49" s="31">
        <f t="shared" si="9"/>
        <v>27.680499999999999</v>
      </c>
      <c r="H49" s="32">
        <f t="shared" si="9"/>
        <v>17.739000000000001</v>
      </c>
      <c r="I49" s="130">
        <f>((I46*1000)/I48)/7</f>
        <v>42.470374510899951</v>
      </c>
      <c r="J49" s="192"/>
      <c r="K49" s="192"/>
      <c r="L49" s="49"/>
      <c r="M49" s="49"/>
      <c r="N49" s="49"/>
      <c r="P49" s="72" t="s">
        <v>13</v>
      </c>
      <c r="Q49" s="65">
        <f>(Q48*Q47)/1000</f>
        <v>209.39018999999996</v>
      </c>
      <c r="R49" s="31">
        <f>(R48*R47)/1000</f>
        <v>46.90274999999999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81.569999999999965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102.48350000000001</v>
      </c>
      <c r="C50" s="35">
        <f t="shared" si="10"/>
        <v>168.78399999999999</v>
      </c>
      <c r="D50" s="35">
        <f t="shared" si="10"/>
        <v>227.255</v>
      </c>
      <c r="E50" s="35">
        <f t="shared" si="10"/>
        <v>123.48</v>
      </c>
      <c r="F50" s="35">
        <f t="shared" si="10"/>
        <v>123.774</v>
      </c>
      <c r="G50" s="35">
        <f t="shared" si="10"/>
        <v>193.76349999999999</v>
      </c>
      <c r="H50" s="68">
        <f t="shared" si="10"/>
        <v>124.173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1465.7313299999998</v>
      </c>
      <c r="R50" s="35">
        <f>((R48*R47)*7)/1000</f>
        <v>328.31924999999995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1">+(B46/B48)/7*1000</f>
        <v>44.5</v>
      </c>
      <c r="C51" s="38">
        <f t="shared" si="11"/>
        <v>44.000000000000007</v>
      </c>
      <c r="D51" s="38">
        <f t="shared" si="11"/>
        <v>43</v>
      </c>
      <c r="E51" s="38">
        <f t="shared" si="11"/>
        <v>41.999999999999993</v>
      </c>
      <c r="F51" s="38">
        <f t="shared" si="11"/>
        <v>41.999999999999986</v>
      </c>
      <c r="G51" s="38">
        <f t="shared" si="11"/>
        <v>41.499999999999993</v>
      </c>
      <c r="H51" s="39">
        <f t="shared" si="11"/>
        <v>40.5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81.569999999999965</v>
      </c>
      <c r="R51" s="38">
        <f>+(R46/R48)/7*1000</f>
        <v>81.570000000000007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8"/>
      <c r="P54" s="1018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6" t="s">
        <v>30</v>
      </c>
      <c r="C55" s="1016"/>
      <c r="D55" s="1016"/>
      <c r="E55" s="1016"/>
      <c r="F55" s="1017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v>350.1</v>
      </c>
      <c r="C58" s="61">
        <v>78.7</v>
      </c>
      <c r="D58" s="61"/>
      <c r="E58" s="61"/>
      <c r="F58" s="61"/>
      <c r="G58" s="77">
        <f t="shared" ref="G58:G65" si="12">SUM(B58:F58)</f>
        <v>428.8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350.1</v>
      </c>
      <c r="C59" s="61">
        <v>78.7</v>
      </c>
      <c r="D59" s="61"/>
      <c r="E59" s="61"/>
      <c r="F59" s="61"/>
      <c r="G59" s="77">
        <f t="shared" si="12"/>
        <v>428.8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((((($B$66*$B$67)/1000)*7)-$B$58-$B$59)/5)</f>
        <v>155.64046200000001</v>
      </c>
      <c r="C60" s="61">
        <f>((((($C$66*$C$67)/1000)*7)-$C$58-$C$59)/5)</f>
        <v>35.320580000000007</v>
      </c>
      <c r="D60" s="61"/>
      <c r="E60" s="61"/>
      <c r="F60" s="61"/>
      <c r="G60" s="77">
        <f t="shared" si="12"/>
        <v>190.96104200000002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((((($B$66*$B$67)/1000)*7)-$B$58-$B$59)/5)</f>
        <v>155.64046200000001</v>
      </c>
      <c r="C61" s="61">
        <f>((((($C$66*$C$67)/1000)*7)-$C$58-$C$59)/5)</f>
        <v>35.320580000000007</v>
      </c>
      <c r="D61" s="61"/>
      <c r="E61" s="61"/>
      <c r="F61" s="61"/>
      <c r="G61" s="77">
        <f t="shared" si="12"/>
        <v>190.96104200000002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((((($B$66*$B$67)/1000)*7)-$B$58-$B$59)/5)</f>
        <v>155.64046200000001</v>
      </c>
      <c r="C62" s="61">
        <f>((((($C$66*$C$67)/1000)*7)-$C$58-$C$59)/5)</f>
        <v>35.320580000000007</v>
      </c>
      <c r="D62" s="61"/>
      <c r="E62" s="61"/>
      <c r="F62" s="61"/>
      <c r="G62" s="77">
        <f t="shared" si="12"/>
        <v>190.96104200000002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((((($B$66*$B$67)/1000)*7)-$B$58-$B$59)/5)</f>
        <v>155.64046200000001</v>
      </c>
      <c r="C63" s="61">
        <f>((((($C$66*$C$67)/1000)*7)-$C$58-$C$59)/5)</f>
        <v>35.320580000000007</v>
      </c>
      <c r="D63" s="61"/>
      <c r="E63" s="61"/>
      <c r="F63" s="61"/>
      <c r="G63" s="77">
        <f t="shared" si="12"/>
        <v>190.96104200000002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((((($B$66*$B$67)/1000)*7)-$B$58-$B$59)/5)</f>
        <v>155.64046200000001</v>
      </c>
      <c r="C64" s="61">
        <f>((((($C$66*$C$67)/1000)*7)-$C$58-$C$59)/5)</f>
        <v>35.320580000000007</v>
      </c>
      <c r="D64" s="61"/>
      <c r="E64" s="61"/>
      <c r="F64" s="61"/>
      <c r="G64" s="77">
        <f t="shared" si="12"/>
        <v>190.96104200000002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1478.4023100000004</v>
      </c>
      <c r="C65" s="22">
        <f>SUM(C58:C64)</f>
        <v>334.00290000000007</v>
      </c>
      <c r="D65" s="22"/>
      <c r="E65" s="22"/>
      <c r="F65" s="22"/>
      <c r="G65" s="77">
        <f t="shared" si="12"/>
        <v>1812.4052100000004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83.71</v>
      </c>
      <c r="C66" s="24">
        <v>83.71</v>
      </c>
      <c r="D66" s="24"/>
      <c r="E66" s="24"/>
      <c r="F66" s="24"/>
      <c r="G66" s="78">
        <f>+((G65/G67)/7)*1000</f>
        <v>83.710000000000022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2523</v>
      </c>
      <c r="C67" s="79">
        <v>570</v>
      </c>
      <c r="D67" s="79"/>
      <c r="E67" s="79"/>
      <c r="F67" s="24"/>
      <c r="G67" s="82">
        <f>SUM(B67:F67)</f>
        <v>3093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211.20032999999998</v>
      </c>
      <c r="C68" s="31">
        <f>(C67*C66)/1000</f>
        <v>47.714700000000001</v>
      </c>
      <c r="D68" s="31"/>
      <c r="E68" s="31"/>
      <c r="F68" s="31"/>
      <c r="G68" s="86">
        <f>((G65*1000)/G67)/7</f>
        <v>83.710000000000022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1478.4023099999997</v>
      </c>
      <c r="C69" s="35">
        <f>((C67*C66)*7)/1000</f>
        <v>334.00289999999995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83.710000000000036</v>
      </c>
      <c r="C70" s="38">
        <f>+(C65/C67)/7*1000</f>
        <v>83.710000000000022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U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AI239"/>
  <sheetViews>
    <sheetView topLeftCell="C1" zoomScale="30" zoomScaleNormal="30" workbookViewId="0">
      <selection activeCell="N31" sqref="N3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59</v>
      </c>
      <c r="Q11" s="1022"/>
      <c r="R11" s="6"/>
      <c r="S11" s="6"/>
      <c r="T11" s="1"/>
      <c r="U11" s="1"/>
      <c r="V11" s="1" t="s">
        <v>6</v>
      </c>
      <c r="W11" s="95">
        <v>45413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6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26"/>
      <c r="M15" s="174"/>
      <c r="N15" s="174"/>
      <c r="O15" s="1026" t="s">
        <v>8</v>
      </c>
      <c r="P15" s="1026"/>
      <c r="Q15" s="1026"/>
      <c r="R15" s="1026"/>
      <c r="S15" s="1026"/>
      <c r="T15" s="1026"/>
      <c r="U15" s="1026"/>
      <c r="V15" s="1026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31.1</v>
      </c>
      <c r="C19" s="19">
        <v>24.8</v>
      </c>
      <c r="D19" s="19">
        <v>24.8</v>
      </c>
      <c r="E19" s="19">
        <v>26.9</v>
      </c>
      <c r="F19" s="19">
        <v>27</v>
      </c>
      <c r="G19" s="19">
        <v>26.9</v>
      </c>
      <c r="H19" s="19">
        <v>29.4</v>
      </c>
      <c r="I19" s="19">
        <v>29.4</v>
      </c>
      <c r="J19" s="19">
        <v>24.2</v>
      </c>
      <c r="K19" s="19">
        <v>24.2</v>
      </c>
      <c r="L19" s="19">
        <v>33.4</v>
      </c>
      <c r="M19" s="19">
        <v>25.7</v>
      </c>
      <c r="N19" s="20">
        <v>11</v>
      </c>
      <c r="O19" s="61">
        <v>13.5</v>
      </c>
      <c r="P19" s="19">
        <v>39.1</v>
      </c>
      <c r="Q19" s="19">
        <v>28.8</v>
      </c>
      <c r="R19" s="19">
        <v>28.8</v>
      </c>
      <c r="S19" s="19">
        <v>40.6</v>
      </c>
      <c r="T19" s="19">
        <v>38.799999999999997</v>
      </c>
      <c r="U19" s="19">
        <v>30.8</v>
      </c>
      <c r="V19" s="19">
        <v>21.9</v>
      </c>
      <c r="W19" s="19">
        <v>21.1</v>
      </c>
      <c r="X19" s="20"/>
      <c r="Y19" s="98">
        <f t="shared" si="0"/>
        <v>602.19999999999993</v>
      </c>
      <c r="AA19" s="2"/>
      <c r="AB19" s="15"/>
    </row>
    <row r="20" spans="1:35" ht="39.75" customHeight="1" x14ac:dyDescent="0.25">
      <c r="A20" s="146" t="s">
        <v>20</v>
      </c>
      <c r="B20" s="18">
        <v>38.299999999999997</v>
      </c>
      <c r="C20" s="19">
        <v>30.8</v>
      </c>
      <c r="D20" s="19">
        <v>30.8</v>
      </c>
      <c r="E20" s="19">
        <v>33.299999999999997</v>
      </c>
      <c r="F20" s="19">
        <v>33.4</v>
      </c>
      <c r="G20" s="19">
        <v>33.4</v>
      </c>
      <c r="H20" s="19">
        <v>36.4</v>
      </c>
      <c r="I20" s="19">
        <v>36.4</v>
      </c>
      <c r="J20" s="19">
        <v>29.8</v>
      </c>
      <c r="K20" s="19">
        <v>29.8</v>
      </c>
      <c r="L20" s="19">
        <v>41.5</v>
      </c>
      <c r="M20" s="19">
        <v>31.8</v>
      </c>
      <c r="N20" s="20">
        <v>13.6</v>
      </c>
      <c r="O20" s="61">
        <v>17.100000000000001</v>
      </c>
      <c r="P20" s="19">
        <v>50.1</v>
      </c>
      <c r="Q20" s="19">
        <v>37</v>
      </c>
      <c r="R20" s="19">
        <v>37</v>
      </c>
      <c r="S20" s="19">
        <v>52.4</v>
      </c>
      <c r="T20" s="19">
        <v>49.3</v>
      </c>
      <c r="U20" s="19">
        <v>39.299999999999997</v>
      </c>
      <c r="V20" s="19">
        <v>28</v>
      </c>
      <c r="W20" s="19">
        <v>26.4</v>
      </c>
      <c r="X20" s="20"/>
      <c r="Y20" s="98">
        <f t="shared" si="0"/>
        <v>755.9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((((($B$27*$B$26)/1000)*7)-$B$19-$B$20)/3)</f>
        <v>38.128333333333337</v>
      </c>
      <c r="C21" s="19">
        <f>((((($C$26*$C$27)/1000)*7)-$C$19-$C$20)/3)</f>
        <v>30.74666666666667</v>
      </c>
      <c r="D21" s="19">
        <f>((((($D$26*$D$27)/1000)*7)-$D$19-$D$20)/3)</f>
        <v>30.644000000000005</v>
      </c>
      <c r="E21" s="19">
        <f>((((($E$26*$E$27)/1000)*7)-$E$19-$E$20)/3)</f>
        <v>33.322333333333333</v>
      </c>
      <c r="F21" s="19">
        <f>((((($F$26*$F$27)/1000)*7)-$F$20-$F$19)/3)</f>
        <v>33.458666666666666</v>
      </c>
      <c r="G21" s="19">
        <f>((((($G$26*$G$27)/1000)*7)-G$19-$G$20)/3)</f>
        <v>33.390499999999996</v>
      </c>
      <c r="H21" s="19">
        <f>((((($H$26*$H$27)/1000)*7)-$H$19-$H$20)/3)</f>
        <v>36.36033333333333</v>
      </c>
      <c r="I21" s="19">
        <f>((((($I$26*$I$27)/1000)*7)-$I$19-$I$20)/3)</f>
        <v>36.460666666666661</v>
      </c>
      <c r="J21" s="19">
        <f>((((($J$26*$J$27)/1000)*7)-$J$19-$J$20)/3)</f>
        <v>29.858999999999998</v>
      </c>
      <c r="K21" s="19">
        <f>((((($K$26*$K$27)/1000)*7)-$K$20-$K$19)/3)</f>
        <v>29.75866666666667</v>
      </c>
      <c r="L21" s="19">
        <f>((((($L$26*$L$27)/1000)*7)-$L$19-$L$20)/3)</f>
        <v>41.461000000000006</v>
      </c>
      <c r="M21" s="19">
        <f>((((($M$26*$M$27)/1000)*7)-$M$19-$M$20)/3)</f>
        <v>31.823666666666668</v>
      </c>
      <c r="N21" s="20">
        <f>((((($N$26*$N$27)/1000)*7)-$N$20-$N$19)/3)</f>
        <v>13.629499999999995</v>
      </c>
      <c r="O21" s="61">
        <f>((((($O$26*$O$27)/1000)*7)-$O$19-$O$20)/3)</f>
        <v>17.141999999999999</v>
      </c>
      <c r="P21" s="19">
        <f>((((($P$26*$P$27)/1000)*7)-$P$19-$P$20)/3)</f>
        <v>50.122666666666667</v>
      </c>
      <c r="Q21" s="19">
        <f>(((((Q$26*$Q$27)/1000)*7)-$Q$19-$Q$20)/3)</f>
        <v>36.971666666666664</v>
      </c>
      <c r="R21" s="19">
        <f>((((($R$26*$R$27)/1000)*7)-$R$19-$R$20)/3)</f>
        <v>37.076666666666661</v>
      </c>
      <c r="S21" s="19">
        <f>((((($S$26*$S$27)/1000)*7)-$S$19-$S$20)/3)</f>
        <v>52.365333333333332</v>
      </c>
      <c r="T21" s="19">
        <f>((((($T$26*$T$27)/1000)*7)-$T$19-$T$20)/3)</f>
        <v>49.294666666666672</v>
      </c>
      <c r="U21" s="19">
        <f>(((((U$26*$U$27)/1000)*7)-$U$19-$U$20)/3)</f>
        <v>39.306666666666658</v>
      </c>
      <c r="V21" s="19">
        <f>((((($V$26*$V$27)/1000)*7)-$V$19-$V$20)/3)</f>
        <v>28.006833333333333</v>
      </c>
      <c r="W21" s="19">
        <f>((((($W$26*$W$27)/1000)*7)-$W$19-$W$20)/3)</f>
        <v>26.451333333333327</v>
      </c>
      <c r="X21" s="20"/>
      <c r="Y21" s="98">
        <f t="shared" si="0"/>
        <v>755.78116666666665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((((($B$27*$B$26)/1000)*7)-$B$19-$B$20)/3)</f>
        <v>38.128333333333337</v>
      </c>
      <c r="C23" s="19">
        <f>((((($C$26*$C$27)/1000)*7)-$C$19-$C$20)/3)</f>
        <v>30.74666666666667</v>
      </c>
      <c r="D23" s="19">
        <f>((((($D$26*$D$27)/1000)*7)-$D$19-$D$20)/3)</f>
        <v>30.644000000000005</v>
      </c>
      <c r="E23" s="19">
        <f>((((($E$26*$E$27)/1000)*7)-$E$19-$E$20)/3)</f>
        <v>33.322333333333333</v>
      </c>
      <c r="F23" s="19">
        <f>((((($F$26*$F$27)/1000)*7)-$F$20-$F$19)/3)</f>
        <v>33.458666666666666</v>
      </c>
      <c r="G23" s="19">
        <f>((((($G$26*$G$27)/1000)*7)-G$19-$G$20)/3)</f>
        <v>33.390499999999996</v>
      </c>
      <c r="H23" s="19">
        <f>((((($H$26*$H$27)/1000)*7)-$H$19-$H$20)/3)</f>
        <v>36.36033333333333</v>
      </c>
      <c r="I23" s="19">
        <f>((((($I$26*$I$27)/1000)*7)-$I$19-$I$20)/3)</f>
        <v>36.460666666666661</v>
      </c>
      <c r="J23" s="19">
        <f>((((($J$26*$J$27)/1000)*7)-$J$19-$J$20)/3)</f>
        <v>29.858999999999998</v>
      </c>
      <c r="K23" s="19">
        <f>((((($K$26*$K$27)/1000)*7)-$K$20-$K$19)/3)</f>
        <v>29.75866666666667</v>
      </c>
      <c r="L23" s="19">
        <f>((((($L$26*$L$27)/1000)*7)-$L$19-$L$20)/3)</f>
        <v>41.461000000000006</v>
      </c>
      <c r="M23" s="19">
        <f>((((($M$26*$M$27)/1000)*7)-$M$19-$M$20)/3)</f>
        <v>31.823666666666668</v>
      </c>
      <c r="N23" s="20">
        <f>((((($N$26*$N$27)/1000)*7)-$N$20-$N$19)/3)</f>
        <v>13.629499999999995</v>
      </c>
      <c r="O23" s="61">
        <f>((((($O$26*$O$27)/1000)*7)-$O$19-$O$20)/3)</f>
        <v>17.141999999999999</v>
      </c>
      <c r="P23" s="19">
        <f>((((($P$26*$P$27)/1000)*7)-$P$19-$P$20)/3)</f>
        <v>50.122666666666667</v>
      </c>
      <c r="Q23" s="19">
        <f>(((((Q$26*$Q$27)/1000)*7)-$Q$19-$Q$20)/3)</f>
        <v>36.971666666666664</v>
      </c>
      <c r="R23" s="19">
        <f>((((($R$26*$R$27)/1000)*7)-$R$19-$R$20)/3)</f>
        <v>37.076666666666661</v>
      </c>
      <c r="S23" s="19">
        <f>((((($S$26*$S$27)/1000)*7)-$S$19-$S$20)/3)</f>
        <v>52.365333333333332</v>
      </c>
      <c r="T23" s="19">
        <f>((((($T$26*$T$27)/1000)*7)-$T$19-$T$20)/3)</f>
        <v>49.294666666666672</v>
      </c>
      <c r="U23" s="19">
        <f>(((((U$26*$U$27)/1000)*7)-$U$19-$U$20)/3)</f>
        <v>39.306666666666658</v>
      </c>
      <c r="V23" s="19">
        <f>((((($V$26*$V$27)/1000)*7)-$V$19-$V$20)/3)</f>
        <v>28.006833333333333</v>
      </c>
      <c r="W23" s="19">
        <f>((((($W$26*$W$27)/1000)*7)-$W$19-$W$20)/3)</f>
        <v>26.451333333333327</v>
      </c>
      <c r="X23" s="20"/>
      <c r="Y23" s="98">
        <f t="shared" si="0"/>
        <v>755.78116666666665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((((($B$27*$B$26)/1000)*7)-$B$19-$B$20)/3)</f>
        <v>38.128333333333337</v>
      </c>
      <c r="C24" s="19">
        <f>((((($C$26*$C$27)/1000)*7)-$C$19-$C$20)/3)</f>
        <v>30.74666666666667</v>
      </c>
      <c r="D24" s="19">
        <f>((((($D$26*$D$27)/1000)*7)-$D$19-$D$20)/3)</f>
        <v>30.644000000000005</v>
      </c>
      <c r="E24" s="19">
        <f>((((($E$26*$E$27)/1000)*7)-$E$19-$E$20)/3)</f>
        <v>33.322333333333333</v>
      </c>
      <c r="F24" s="19">
        <f>((((($F$26*$F$27)/1000)*7)-$F$20-$F$19)/3)</f>
        <v>33.458666666666666</v>
      </c>
      <c r="G24" s="19">
        <f>((((($G$26*$G$27)/1000)*7)-G$19-$G$20)/3)</f>
        <v>33.390499999999996</v>
      </c>
      <c r="H24" s="19">
        <f>((((($H$26*$H$27)/1000)*7)-$H$19-$H$20)/3)</f>
        <v>36.36033333333333</v>
      </c>
      <c r="I24" s="19">
        <f>((((($I$26*$I$27)/1000)*7)-$I$19-$I$20)/3)</f>
        <v>36.460666666666661</v>
      </c>
      <c r="J24" s="19">
        <f>((((($J$26*$J$27)/1000)*7)-$J$19-$J$20)/3)</f>
        <v>29.858999999999998</v>
      </c>
      <c r="K24" s="19">
        <f>((((($K$26*$K$27)/1000)*7)-$K$20-$K$19)/3)</f>
        <v>29.75866666666667</v>
      </c>
      <c r="L24" s="19">
        <f>((((($L$26*$L$27)/1000)*7)-$L$19-$L$20)/3)</f>
        <v>41.461000000000006</v>
      </c>
      <c r="M24" s="19">
        <f>((((($M$26*$M$27)/1000)*7)-$M$19-$M$20)/3)</f>
        <v>31.823666666666668</v>
      </c>
      <c r="N24" s="20">
        <f>((((($N$26*$N$27)/1000)*7)-$N$20-$N$19)/3)</f>
        <v>13.629499999999995</v>
      </c>
      <c r="O24" s="61">
        <f>((((($O$26*$O$27)/1000)*7)-$O$19-$O$20)/3)</f>
        <v>17.141999999999999</v>
      </c>
      <c r="P24" s="19">
        <f>((((($P$26*$P$27)/1000)*7)-$P$19-$P$20)/3)</f>
        <v>50.122666666666667</v>
      </c>
      <c r="Q24" s="19">
        <f>(((((Q$26*$Q$27)/1000)*7)-$Q$19-$Q$20)/3)</f>
        <v>36.971666666666664</v>
      </c>
      <c r="R24" s="19">
        <f>((((($R$26*$R$27)/1000)*7)-$R$19-$R$20)/3)</f>
        <v>37.076666666666661</v>
      </c>
      <c r="S24" s="19">
        <f>((((($S$26*$S$27)/1000)*7)-$S$19-$S$20)/3)</f>
        <v>52.365333333333332</v>
      </c>
      <c r="T24" s="19">
        <f>((((($T$26*$T$27)/1000)*7)-$T$19-$T$20)/3)</f>
        <v>49.294666666666672</v>
      </c>
      <c r="U24" s="19">
        <f>(((((U$26*$U$27)/1000)*7)-$U$19-$U$20)/3)</f>
        <v>39.306666666666658</v>
      </c>
      <c r="V24" s="19">
        <f>((((($V$26*$V$27)/1000)*7)-$V$19-$V$20)/3)</f>
        <v>28.006833333333333</v>
      </c>
      <c r="W24" s="19">
        <f>((((($W$26*$W$27)/1000)*7)-$W$19-$W$20)/3)</f>
        <v>26.451333333333327</v>
      </c>
      <c r="X24" s="20"/>
      <c r="Y24" s="98">
        <f t="shared" si="0"/>
        <v>755.78116666666665</v>
      </c>
      <c r="AA24" s="2"/>
    </row>
    <row r="25" spans="1:35" ht="41.45" customHeight="1" x14ac:dyDescent="0.25">
      <c r="A25" s="182" t="s">
        <v>9</v>
      </c>
      <c r="B25" s="21">
        <f>SUM(B18:B24)</f>
        <v>183.785</v>
      </c>
      <c r="C25" s="22">
        <f>SUM(C18:C24)</f>
        <v>147.84</v>
      </c>
      <c r="D25" s="22">
        <f>SUM(D18:D24)</f>
        <v>147.53200000000001</v>
      </c>
      <c r="E25" s="22">
        <f>SUM(E18:E24)</f>
        <v>160.167</v>
      </c>
      <c r="F25" s="22">
        <f>SUM(F18:F24)</f>
        <v>160.77599999999998</v>
      </c>
      <c r="G25" s="22">
        <f t="shared" ref="G25:W25" si="1">SUM(G18:G24)</f>
        <v>160.47149999999999</v>
      </c>
      <c r="H25" s="22">
        <f t="shared" si="1"/>
        <v>174.881</v>
      </c>
      <c r="I25" s="22">
        <f t="shared" si="1"/>
        <v>175.18199999999999</v>
      </c>
      <c r="J25" s="22">
        <f>SUM(J18:J24)</f>
        <v>143.577</v>
      </c>
      <c r="K25" s="22">
        <f t="shared" si="1"/>
        <v>143.27600000000001</v>
      </c>
      <c r="L25" s="22">
        <f t="shared" si="1"/>
        <v>199.28300000000004</v>
      </c>
      <c r="M25" s="22">
        <f t="shared" si="1"/>
        <v>152.971</v>
      </c>
      <c r="N25" s="153">
        <f t="shared" si="1"/>
        <v>65.488499999999988</v>
      </c>
      <c r="O25" s="62">
        <f t="shared" si="1"/>
        <v>82.025999999999996</v>
      </c>
      <c r="P25" s="22">
        <f t="shared" si="1"/>
        <v>239.56800000000001</v>
      </c>
      <c r="Q25" s="22">
        <f t="shared" si="1"/>
        <v>176.715</v>
      </c>
      <c r="R25" s="22">
        <f t="shared" si="1"/>
        <v>177.02999999999997</v>
      </c>
      <c r="S25" s="19">
        <f>SUM(S18:S24)</f>
        <v>250.09599999999998</v>
      </c>
      <c r="T25" s="199">
        <f>SUM(T18:T24)</f>
        <v>235.98400000000001</v>
      </c>
      <c r="U25" s="199">
        <f>SUM(U18:U24)</f>
        <v>188.01999999999998</v>
      </c>
      <c r="V25" s="199">
        <f>SUM(V18:V24)</f>
        <v>133.9205</v>
      </c>
      <c r="W25" s="199">
        <f t="shared" si="1"/>
        <v>126.85399999999997</v>
      </c>
      <c r="X25" s="20"/>
      <c r="Y25" s="98">
        <f>SUM(Y18:Y24)</f>
        <v>3625.4434999999999</v>
      </c>
    </row>
    <row r="26" spans="1:35" s="2" customFormat="1" ht="36.75" customHeight="1" x14ac:dyDescent="0.25">
      <c r="A26" s="148" t="s">
        <v>11</v>
      </c>
      <c r="B26" s="23">
        <v>44.5</v>
      </c>
      <c r="C26" s="24">
        <v>44</v>
      </c>
      <c r="D26" s="24">
        <v>44</v>
      </c>
      <c r="E26" s="24">
        <v>43.5</v>
      </c>
      <c r="F26" s="24">
        <v>43.5</v>
      </c>
      <c r="G26" s="24">
        <v>43.5</v>
      </c>
      <c r="H26" s="24">
        <v>43</v>
      </c>
      <c r="I26" s="24">
        <v>43</v>
      </c>
      <c r="J26" s="24">
        <v>43</v>
      </c>
      <c r="K26" s="24">
        <v>43</v>
      </c>
      <c r="L26" s="24">
        <v>41.5</v>
      </c>
      <c r="M26" s="24">
        <v>41</v>
      </c>
      <c r="N26" s="25">
        <v>40.5</v>
      </c>
      <c r="O26" s="63">
        <v>46.5</v>
      </c>
      <c r="P26" s="24">
        <v>46</v>
      </c>
      <c r="Q26" s="24">
        <v>45</v>
      </c>
      <c r="R26" s="24">
        <v>45</v>
      </c>
      <c r="S26" s="24">
        <v>44</v>
      </c>
      <c r="T26" s="24">
        <v>43</v>
      </c>
      <c r="U26" s="24">
        <v>42.5</v>
      </c>
      <c r="V26" s="24">
        <v>41.5</v>
      </c>
      <c r="W26" s="24">
        <v>41</v>
      </c>
      <c r="X26" s="25"/>
      <c r="Y26" s="99">
        <f>((Y25/Y27)/7)*1000</f>
        <v>43.355139795747526</v>
      </c>
    </row>
    <row r="27" spans="1:35" s="2" customFormat="1" ht="33" customHeight="1" x14ac:dyDescent="0.25">
      <c r="A27" s="149" t="s">
        <v>12</v>
      </c>
      <c r="B27" s="26">
        <v>590</v>
      </c>
      <c r="C27" s="27">
        <v>480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582</v>
      </c>
      <c r="J27" s="27">
        <v>477</v>
      </c>
      <c r="K27" s="27">
        <v>476</v>
      </c>
      <c r="L27" s="27">
        <v>686</v>
      </c>
      <c r="M27" s="27">
        <v>533</v>
      </c>
      <c r="N27" s="28">
        <v>231</v>
      </c>
      <c r="O27" s="64">
        <v>252</v>
      </c>
      <c r="P27" s="27">
        <v>744</v>
      </c>
      <c r="Q27" s="27">
        <v>561</v>
      </c>
      <c r="R27" s="27">
        <v>562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11946</v>
      </c>
    </row>
    <row r="28" spans="1:35" s="2" customFormat="1" ht="33" customHeight="1" x14ac:dyDescent="0.25">
      <c r="A28" s="150" t="s">
        <v>13</v>
      </c>
      <c r="B28" s="30">
        <f>(B27*B26)/1000</f>
        <v>26.254999999999999</v>
      </c>
      <c r="C28" s="31">
        <f>(C27*C26)/1000</f>
        <v>21.12</v>
      </c>
      <c r="D28" s="31">
        <f>(D27*D26)/1000</f>
        <v>21.076000000000001</v>
      </c>
      <c r="E28" s="31">
        <f>(E27*E26)/1000</f>
        <v>22.881</v>
      </c>
      <c r="F28" s="31">
        <f>(F27*F26)/1000</f>
        <v>22.968</v>
      </c>
      <c r="G28" s="31">
        <f t="shared" ref="G28:W28" si="2">(G27*G26)/1000</f>
        <v>22.924499999999998</v>
      </c>
      <c r="H28" s="31">
        <f t="shared" si="2"/>
        <v>24.983000000000001</v>
      </c>
      <c r="I28" s="31">
        <f t="shared" si="2"/>
        <v>25.026</v>
      </c>
      <c r="J28" s="31">
        <f t="shared" si="2"/>
        <v>20.510999999999999</v>
      </c>
      <c r="K28" s="31">
        <f t="shared" si="2"/>
        <v>20.468</v>
      </c>
      <c r="L28" s="31">
        <f t="shared" si="2"/>
        <v>28.469000000000001</v>
      </c>
      <c r="M28" s="31">
        <f t="shared" si="2"/>
        <v>21.853000000000002</v>
      </c>
      <c r="N28" s="32">
        <f t="shared" si="2"/>
        <v>9.3554999999999993</v>
      </c>
      <c r="O28" s="65">
        <f t="shared" si="2"/>
        <v>11.718</v>
      </c>
      <c r="P28" s="31">
        <f t="shared" si="2"/>
        <v>34.223999999999997</v>
      </c>
      <c r="Q28" s="31">
        <f t="shared" si="2"/>
        <v>25.245000000000001</v>
      </c>
      <c r="R28" s="31">
        <f t="shared" si="2"/>
        <v>25.29</v>
      </c>
      <c r="S28" s="31">
        <f t="shared" si="2"/>
        <v>35.728000000000002</v>
      </c>
      <c r="T28" s="31">
        <f t="shared" si="2"/>
        <v>33.712000000000003</v>
      </c>
      <c r="U28" s="31">
        <f t="shared" si="2"/>
        <v>26.86</v>
      </c>
      <c r="V28" s="31">
        <f t="shared" si="2"/>
        <v>19.131499999999999</v>
      </c>
      <c r="W28" s="31">
        <f t="shared" si="2"/>
        <v>18.122</v>
      </c>
      <c r="X28" s="32"/>
      <c r="Y28" s="33">
        <f>((Y25*1000)/7)/Y27</f>
        <v>43.355139795747533</v>
      </c>
    </row>
    <row r="29" spans="1:35" ht="33.75" customHeight="1" x14ac:dyDescent="0.25">
      <c r="A29" s="151" t="s">
        <v>14</v>
      </c>
      <c r="B29" s="34">
        <f>((B27*B26)*7)/1000</f>
        <v>183.785</v>
      </c>
      <c r="C29" s="35">
        <f t="shared" ref="C29:N29" si="3">((C27*C26)*6)/1000</f>
        <v>126.72</v>
      </c>
      <c r="D29" s="35">
        <f t="shared" si="3"/>
        <v>126.456</v>
      </c>
      <c r="E29" s="35">
        <f t="shared" si="3"/>
        <v>137.286</v>
      </c>
      <c r="F29" s="35">
        <f t="shared" si="3"/>
        <v>137.80799999999999</v>
      </c>
      <c r="G29" s="35">
        <f t="shared" si="3"/>
        <v>137.547</v>
      </c>
      <c r="H29" s="35">
        <f t="shared" si="3"/>
        <v>149.898</v>
      </c>
      <c r="I29" s="35">
        <f t="shared" si="3"/>
        <v>150.15600000000001</v>
      </c>
      <c r="J29" s="35">
        <f t="shared" si="3"/>
        <v>123.066</v>
      </c>
      <c r="K29" s="35">
        <f t="shared" si="3"/>
        <v>122.80800000000001</v>
      </c>
      <c r="L29" s="35">
        <f t="shared" si="3"/>
        <v>170.81399999999999</v>
      </c>
      <c r="M29" s="35">
        <f t="shared" si="3"/>
        <v>131.11799999999999</v>
      </c>
      <c r="N29" s="68">
        <f t="shared" si="3"/>
        <v>56.133000000000003</v>
      </c>
      <c r="O29" s="66">
        <f t="shared" ref="O29:W29" si="4">((O27*O26)*4)/1000</f>
        <v>46.872</v>
      </c>
      <c r="P29" s="35">
        <f t="shared" si="4"/>
        <v>136.89599999999999</v>
      </c>
      <c r="Q29" s="35">
        <f t="shared" si="4"/>
        <v>100.98</v>
      </c>
      <c r="R29" s="35">
        <f t="shared" si="4"/>
        <v>101.16</v>
      </c>
      <c r="S29" s="35">
        <f t="shared" si="4"/>
        <v>142.91200000000001</v>
      </c>
      <c r="T29" s="35">
        <f t="shared" si="4"/>
        <v>134.84800000000001</v>
      </c>
      <c r="U29" s="35">
        <f t="shared" si="4"/>
        <v>107.44</v>
      </c>
      <c r="V29" s="35">
        <f t="shared" si="4"/>
        <v>76.525999999999996</v>
      </c>
      <c r="W29" s="35">
        <f t="shared" si="4"/>
        <v>72.488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44.5</v>
      </c>
      <c r="C30" s="38">
        <f t="shared" si="5"/>
        <v>44</v>
      </c>
      <c r="D30" s="38">
        <f t="shared" si="5"/>
        <v>44</v>
      </c>
      <c r="E30" s="38">
        <f t="shared" si="5"/>
        <v>43.5</v>
      </c>
      <c r="F30" s="38">
        <f t="shared" si="5"/>
        <v>43.5</v>
      </c>
      <c r="G30" s="38">
        <f t="shared" si="5"/>
        <v>43.5</v>
      </c>
      <c r="H30" s="38">
        <f t="shared" si="5"/>
        <v>43</v>
      </c>
      <c r="I30" s="38">
        <f t="shared" si="5"/>
        <v>43</v>
      </c>
      <c r="J30" s="38">
        <f t="shared" si="5"/>
        <v>43</v>
      </c>
      <c r="K30" s="38">
        <f t="shared" si="5"/>
        <v>43</v>
      </c>
      <c r="L30" s="38">
        <f t="shared" si="5"/>
        <v>41.500000000000014</v>
      </c>
      <c r="M30" s="38">
        <f t="shared" si="5"/>
        <v>41</v>
      </c>
      <c r="N30" s="39">
        <f t="shared" si="5"/>
        <v>40.499999999999993</v>
      </c>
      <c r="O30" s="67">
        <f t="shared" si="5"/>
        <v>46.5</v>
      </c>
      <c r="P30" s="38">
        <f t="shared" si="5"/>
        <v>46</v>
      </c>
      <c r="Q30" s="38">
        <f t="shared" si="5"/>
        <v>45</v>
      </c>
      <c r="R30" s="38">
        <f t="shared" si="5"/>
        <v>44.999999999999993</v>
      </c>
      <c r="S30" s="38">
        <f t="shared" si="5"/>
        <v>44</v>
      </c>
      <c r="T30" s="38">
        <f t="shared" si="5"/>
        <v>43</v>
      </c>
      <c r="U30" s="38">
        <f t="shared" si="5"/>
        <v>42.499999999999993</v>
      </c>
      <c r="V30" s="38">
        <f t="shared" si="5"/>
        <v>41.5</v>
      </c>
      <c r="W30" s="38">
        <f t="shared" si="5"/>
        <v>40.999999999999986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31" t="s">
        <v>8</v>
      </c>
      <c r="C36" s="1032"/>
      <c r="D36" s="1032"/>
      <c r="E36" s="1032"/>
      <c r="F36" s="1032"/>
      <c r="G36" s="1032"/>
      <c r="H36" s="1033"/>
      <c r="I36" s="177"/>
      <c r="O36" s="44"/>
      <c r="P36" s="88" t="s">
        <v>18</v>
      </c>
      <c r="Q36" s="1031" t="s">
        <v>8</v>
      </c>
      <c r="R36" s="1032"/>
      <c r="S36" s="1032"/>
      <c r="T36" s="1033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21" t="s">
        <v>27</v>
      </c>
      <c r="M37" s="1021"/>
      <c r="N37" s="1021"/>
      <c r="O37" s="1021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89"/>
      <c r="M39" s="89"/>
      <c r="N39" s="89"/>
      <c r="O39" s="90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17.7</v>
      </c>
      <c r="C40" s="19">
        <v>29.3</v>
      </c>
      <c r="D40" s="19">
        <v>39.5</v>
      </c>
      <c r="E40" s="19">
        <v>21.5</v>
      </c>
      <c r="F40" s="19">
        <v>21.5</v>
      </c>
      <c r="G40" s="19">
        <v>33.700000000000003</v>
      </c>
      <c r="H40" s="20">
        <v>21.6</v>
      </c>
      <c r="I40" s="127">
        <f t="shared" si="6"/>
        <v>184.79999999999998</v>
      </c>
      <c r="J40" s="49"/>
      <c r="K40" s="49"/>
      <c r="L40" s="89"/>
      <c r="M40" s="89"/>
      <c r="N40" s="89"/>
      <c r="O40" s="90"/>
      <c r="P40" s="96" t="s">
        <v>24</v>
      </c>
      <c r="Q40" s="101">
        <v>14.2</v>
      </c>
      <c r="R40" s="101">
        <v>9.6999999999999993</v>
      </c>
      <c r="S40" s="101">
        <v>9.3000000000000007</v>
      </c>
      <c r="T40" s="77">
        <f t="shared" si="7"/>
        <v>33.200000000000003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23.6</v>
      </c>
      <c r="C41" s="19">
        <v>38.700000000000003</v>
      </c>
      <c r="D41" s="19">
        <v>52.2</v>
      </c>
      <c r="E41" s="19">
        <v>28.4</v>
      </c>
      <c r="F41" s="19">
        <v>28.4</v>
      </c>
      <c r="G41" s="19">
        <v>44.5</v>
      </c>
      <c r="H41" s="20">
        <v>28.7</v>
      </c>
      <c r="I41" s="127">
        <f t="shared" si="6"/>
        <v>244.5</v>
      </c>
      <c r="J41" s="49"/>
      <c r="K41" s="49"/>
      <c r="L41" s="89"/>
      <c r="M41" s="89"/>
      <c r="N41" s="89"/>
      <c r="O41" s="90"/>
      <c r="P41" s="96" t="s">
        <v>20</v>
      </c>
      <c r="Q41" s="101">
        <v>14.2</v>
      </c>
      <c r="R41" s="101">
        <v>9.6999999999999993</v>
      </c>
      <c r="S41" s="101">
        <v>9.3000000000000007</v>
      </c>
      <c r="T41" s="77">
        <f t="shared" si="7"/>
        <v>33.200000000000003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((((($B$47*$B$48)/1000)*7)-$B$40-$B$41)/3)</f>
        <v>23.620333333333331</v>
      </c>
      <c r="C42" s="19">
        <f>((((($C$47*$C$48)/1000)*7)-$C$40-$C$41)/3)</f>
        <v>38.373333333333328</v>
      </c>
      <c r="D42" s="19">
        <f>((((($D$48*$D$47)/1000)*7)-$D$40-$D$41)/3)</f>
        <v>52.231666666666662</v>
      </c>
      <c r="E42" s="19">
        <f>((((($E$47*$E$48)/1000)*7)-$E$40-$E$41)/3)</f>
        <v>28.446666666666669</v>
      </c>
      <c r="F42" s="19">
        <f>((((($F$47*$F$48)/1000)*7)-$F$40-$F$41)/3)</f>
        <v>28.554000000000002</v>
      </c>
      <c r="G42" s="19">
        <f>((((($G$47*$G$48)/1000)*7)-$G$40-$G$41)/3)</f>
        <v>44.534166666666671</v>
      </c>
      <c r="H42" s="20">
        <f>((((($H$47*$H$48)/1000)*7)-$H$40-$H$41)/3)</f>
        <v>28.712333333333337</v>
      </c>
      <c r="I42" s="127">
        <f t="shared" si="6"/>
        <v>244.47249999999997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((((($Q$48*$Q$47)/1000)*7)-$Q$40-$Q$41)/4)</f>
        <v>17.559249999999999</v>
      </c>
      <c r="R42" s="101">
        <f>((((($R$47*$R$48)/1000)*7)-$R$40-$R$41)/4)</f>
        <v>11.802999999999997</v>
      </c>
      <c r="S42" s="101">
        <f>((((($S$47*$S$48)/1000)*7)-$S$40-$S$41)/4)</f>
        <v>11.469250000000002</v>
      </c>
      <c r="T42" s="77">
        <f t="shared" si="7"/>
        <v>40.831499999999998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((((($Q$48*$Q$47)/1000)*7)-$Q$40-$Q$41)/4)</f>
        <v>17.559249999999999</v>
      </c>
      <c r="R43" s="101">
        <f>((((($R$47*$R$48)/1000)*7)-$R$40-$R$41)/4)</f>
        <v>11.802999999999997</v>
      </c>
      <c r="S43" s="101">
        <f>((((($S$47*$S$48)/1000)*7)-$S$40-$S$41)/4)</f>
        <v>11.469250000000002</v>
      </c>
      <c r="T43" s="77">
        <f t="shared" si="7"/>
        <v>40.831499999999998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((((($B$47*$B$48)/1000)*7)-$B$40-$B$41)/3)</f>
        <v>23.620333333333331</v>
      </c>
      <c r="C44" s="19">
        <f>((((($C$47*$C$48)/1000)*7)-$C$40-$C$41)/3)</f>
        <v>38.373333333333328</v>
      </c>
      <c r="D44" s="19">
        <f>((((($D$48*$D$47)/1000)*7)-$D$40-$D$41)/3)</f>
        <v>52.231666666666662</v>
      </c>
      <c r="E44" s="19">
        <f>((((($E$47*$E$48)/1000)*7)-$E$40-$E$41)/3)</f>
        <v>28.446666666666669</v>
      </c>
      <c r="F44" s="19">
        <f>((((($F$47*$F$48)/1000)*7)-$F$40-$F$41)/3)</f>
        <v>28.554000000000002</v>
      </c>
      <c r="G44" s="19">
        <f>((((($G$47*$G$48)/1000)*7)-$G$40-$G$41)/3)</f>
        <v>44.534166666666671</v>
      </c>
      <c r="H44" s="20">
        <f>((((($H$47*$H$48)/1000)*7)-$H$40-$H$41)/3)</f>
        <v>28.712333333333337</v>
      </c>
      <c r="I44" s="127">
        <f t="shared" si="6"/>
        <v>244.47249999999997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((((($Q$48*$Q$47)/1000)*7)-$Q$40-$Q$41)/4)</f>
        <v>17.559249999999999</v>
      </c>
      <c r="R44" s="101">
        <f>((((($R$47*$R$48)/1000)*7)-$R$40-$R$41)/4)</f>
        <v>11.802999999999997</v>
      </c>
      <c r="S44" s="101">
        <f>((((($S$47*$S$48)/1000)*7)-$S$40-$S$41)/4)</f>
        <v>11.469250000000002</v>
      </c>
      <c r="T44" s="77">
        <f t="shared" si="7"/>
        <v>40.831499999999998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((((($B$47*$B$48)/1000)*7)-$B$40-$B$41)/3)</f>
        <v>23.620333333333331</v>
      </c>
      <c r="C45" s="19">
        <f>((((($C$47*$C$48)/1000)*7)-$C$40-$C$41)/3)</f>
        <v>38.373333333333328</v>
      </c>
      <c r="D45" s="19">
        <f>((((($D$48*$D$47)/1000)*7)-$D$40-$D$41)/3)</f>
        <v>52.231666666666662</v>
      </c>
      <c r="E45" s="19">
        <f>((((($E$47*$E$48)/1000)*7)-$E$40-$E$41)/3)</f>
        <v>28.446666666666669</v>
      </c>
      <c r="F45" s="19">
        <f>((((($F$47*$F$48)/1000)*7)-$F$40-$F$41)/3)</f>
        <v>28.554000000000002</v>
      </c>
      <c r="G45" s="19">
        <f>((((($G$47*$G$48)/1000)*7)-$G$40-$G$41)/3)</f>
        <v>44.534166666666671</v>
      </c>
      <c r="H45" s="20">
        <f>((((($H$47*$H$48)/1000)*7)-$H$40-$H$41)/3)</f>
        <v>28.712333333333337</v>
      </c>
      <c r="I45" s="127">
        <f t="shared" si="6"/>
        <v>244.47249999999997</v>
      </c>
      <c r="K45" s="49"/>
      <c r="L45" s="89"/>
      <c r="M45" s="89"/>
      <c r="N45" s="89"/>
      <c r="O45" s="90"/>
      <c r="P45" s="96" t="s">
        <v>23</v>
      </c>
      <c r="Q45" s="101">
        <f>((((($Q$48*$Q$47)/1000)*7)-$Q$40-$Q$41)/4)</f>
        <v>17.559249999999999</v>
      </c>
      <c r="R45" s="101">
        <f>((((($R$47*$R$48)/1000)*7)-$R$40-$R$41)/4)</f>
        <v>11.802999999999997</v>
      </c>
      <c r="S45" s="101">
        <f>((((($S$47*$S$48)/1000)*7)-$S$40-$S$41)/4)</f>
        <v>11.469250000000002</v>
      </c>
      <c r="T45" s="77">
        <f t="shared" si="7"/>
        <v>40.831499999999998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112.161</v>
      </c>
      <c r="C46" s="22">
        <f t="shared" si="8"/>
        <v>183.12</v>
      </c>
      <c r="D46" s="22">
        <f t="shared" si="8"/>
        <v>248.39499999999998</v>
      </c>
      <c r="E46" s="22">
        <f t="shared" si="8"/>
        <v>135.24</v>
      </c>
      <c r="F46" s="22">
        <f t="shared" si="8"/>
        <v>135.56200000000001</v>
      </c>
      <c r="G46" s="22">
        <f t="shared" si="8"/>
        <v>211.80250000000001</v>
      </c>
      <c r="H46" s="153">
        <f t="shared" si="8"/>
        <v>136.43700000000001</v>
      </c>
      <c r="I46" s="127">
        <f t="shared" si="6"/>
        <v>1162.7174999999997</v>
      </c>
      <c r="J46" s="45"/>
      <c r="K46" s="49"/>
      <c r="L46" s="49"/>
      <c r="M46" s="49"/>
      <c r="N46" s="49"/>
      <c r="P46" s="80" t="s">
        <v>9</v>
      </c>
      <c r="Q46" s="62">
        <f>SUM(Q39:Q45)</f>
        <v>98.637</v>
      </c>
      <c r="R46" s="22">
        <f>SUM(R39:R45)</f>
        <v>66.611999999999995</v>
      </c>
      <c r="S46" s="22">
        <f>SUM(S39:S45)</f>
        <v>64.477000000000004</v>
      </c>
      <c r="T46" s="77">
        <f t="shared" si="7"/>
        <v>229.726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49</v>
      </c>
      <c r="C47" s="24">
        <v>48</v>
      </c>
      <c r="D47" s="24">
        <v>47</v>
      </c>
      <c r="E47" s="24">
        <v>46</v>
      </c>
      <c r="F47" s="24">
        <v>46</v>
      </c>
      <c r="G47" s="24">
        <v>45.5</v>
      </c>
      <c r="H47" s="25">
        <v>44.5</v>
      </c>
      <c r="I47" s="128">
        <f>+((I46/I48)/7)*1000</f>
        <v>46.514281713805651</v>
      </c>
      <c r="J47" s="42"/>
      <c r="K47" s="50"/>
      <c r="L47" s="49"/>
      <c r="M47" s="49"/>
      <c r="N47" s="49"/>
      <c r="P47" s="93" t="s">
        <v>11</v>
      </c>
      <c r="Q47" s="63">
        <v>61</v>
      </c>
      <c r="R47" s="24">
        <v>61</v>
      </c>
      <c r="S47" s="24">
        <v>61</v>
      </c>
      <c r="T47" s="78">
        <f>+((T46/T48)/7)*1000</f>
        <v>61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327</v>
      </c>
      <c r="C48" s="27">
        <v>545</v>
      </c>
      <c r="D48" s="27">
        <v>755</v>
      </c>
      <c r="E48" s="27">
        <v>420</v>
      </c>
      <c r="F48" s="27">
        <v>421</v>
      </c>
      <c r="G48" s="27">
        <v>665</v>
      </c>
      <c r="H48" s="28">
        <v>438</v>
      </c>
      <c r="I48" s="129">
        <f>SUM(B48:H48)</f>
        <v>3571</v>
      </c>
      <c r="J48" s="42"/>
      <c r="K48" s="191"/>
      <c r="L48" s="49"/>
      <c r="M48" s="49"/>
      <c r="N48" s="49"/>
      <c r="O48" s="51"/>
      <c r="P48" s="71" t="s">
        <v>12</v>
      </c>
      <c r="Q48" s="79">
        <v>231</v>
      </c>
      <c r="R48" s="79">
        <v>156</v>
      </c>
      <c r="S48" s="79">
        <v>151</v>
      </c>
      <c r="T48" s="82">
        <f>SUM(O48:S48)</f>
        <v>538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16.023</v>
      </c>
      <c r="C49" s="31">
        <f t="shared" si="9"/>
        <v>26.16</v>
      </c>
      <c r="D49" s="31">
        <f t="shared" si="9"/>
        <v>35.484999999999999</v>
      </c>
      <c r="E49" s="31">
        <f t="shared" si="9"/>
        <v>19.32</v>
      </c>
      <c r="F49" s="31">
        <f t="shared" si="9"/>
        <v>19.366</v>
      </c>
      <c r="G49" s="31">
        <f t="shared" si="9"/>
        <v>30.2575</v>
      </c>
      <c r="H49" s="32">
        <f t="shared" si="9"/>
        <v>19.491</v>
      </c>
      <c r="I49" s="130">
        <f>((I46*1000)/I48)/7</f>
        <v>46.514281713805644</v>
      </c>
      <c r="J49" s="192"/>
      <c r="K49" s="192"/>
      <c r="L49" s="49"/>
      <c r="M49" s="49"/>
      <c r="N49" s="49"/>
      <c r="P49" s="72" t="s">
        <v>13</v>
      </c>
      <c r="Q49" s="65">
        <f>(Q48*Q47)/1000</f>
        <v>14.090999999999999</v>
      </c>
      <c r="R49" s="31">
        <f>(R48*R47)/1000</f>
        <v>9.516</v>
      </c>
      <c r="S49" s="31">
        <f>(S48*S47)/1000</f>
        <v>9.2110000000000003</v>
      </c>
      <c r="T49" s="83">
        <f>((T46*1000)/T48)/7</f>
        <v>61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112.161</v>
      </c>
      <c r="C50" s="35">
        <f t="shared" si="10"/>
        <v>183.12</v>
      </c>
      <c r="D50" s="35">
        <f t="shared" si="10"/>
        <v>248.39500000000001</v>
      </c>
      <c r="E50" s="35">
        <f t="shared" si="10"/>
        <v>135.24</v>
      </c>
      <c r="F50" s="35">
        <f t="shared" si="10"/>
        <v>135.56200000000001</v>
      </c>
      <c r="G50" s="35">
        <f t="shared" si="10"/>
        <v>211.80250000000001</v>
      </c>
      <c r="H50" s="68">
        <f t="shared" si="10"/>
        <v>136.43700000000001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98.637</v>
      </c>
      <c r="R50" s="35">
        <f>((R48*R47)*7)/1000</f>
        <v>66.611999999999995</v>
      </c>
      <c r="S50" s="35">
        <f>((S48*S47)*7)/1000</f>
        <v>64.477000000000004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49</v>
      </c>
      <c r="C51" s="38">
        <f t="shared" si="11"/>
        <v>48</v>
      </c>
      <c r="D51" s="38">
        <f t="shared" si="11"/>
        <v>46.999999999999993</v>
      </c>
      <c r="E51" s="38">
        <f t="shared" si="11"/>
        <v>46</v>
      </c>
      <c r="F51" s="38">
        <f t="shared" si="11"/>
        <v>46</v>
      </c>
      <c r="G51" s="38">
        <f t="shared" si="11"/>
        <v>45.5</v>
      </c>
      <c r="H51" s="39">
        <f t="shared" si="11"/>
        <v>44.500000000000007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61</v>
      </c>
      <c r="R51" s="38">
        <f>+(R46/R48)/7*1000</f>
        <v>61</v>
      </c>
      <c r="S51" s="38">
        <f>+(S46/S48)/7*1000</f>
        <v>61.000000000000007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8"/>
      <c r="P54" s="1018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6" t="s">
        <v>17</v>
      </c>
      <c r="C55" s="1016"/>
      <c r="D55" s="1016"/>
      <c r="E55" s="1016"/>
      <c r="F55" s="1017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18.399999999999999</v>
      </c>
      <c r="C59" s="61">
        <v>22.1</v>
      </c>
      <c r="D59" s="61">
        <v>25.6</v>
      </c>
      <c r="E59" s="61">
        <v>19.8</v>
      </c>
      <c r="F59" s="61">
        <v>25.1</v>
      </c>
      <c r="G59" s="77">
        <f t="shared" si="12"/>
        <v>111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18.399999999999999</v>
      </c>
      <c r="C60" s="61">
        <v>22.1</v>
      </c>
      <c r="D60" s="61">
        <v>25.6</v>
      </c>
      <c r="E60" s="61">
        <v>19.8</v>
      </c>
      <c r="F60" s="61">
        <v>25.1</v>
      </c>
      <c r="G60" s="77">
        <f t="shared" si="12"/>
        <v>111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((((($B$66*$B$67)/1000)*7)-$B$59-$B$60)/4)</f>
        <v>24.811249999999994</v>
      </c>
      <c r="C61" s="61">
        <f>((((($C$66*$C$67)/1000)*7)-$C$59-$C$60)/4)</f>
        <v>29.672499999999999</v>
      </c>
      <c r="D61" s="61">
        <f>((((($D$66*$D$67)/1000)*7)-$D$59-$D$60)/4)</f>
        <v>34.406250000000007</v>
      </c>
      <c r="E61" s="61">
        <f>((((($E$66*$E$67)/1000)*7)-$E$59-$E$60)/4)</f>
        <v>26.613749999999996</v>
      </c>
      <c r="F61" s="61">
        <f>((((($F$66*$F$67)/1000)*7)-$F$59-$F$60)/4)</f>
        <v>33.746250000000003</v>
      </c>
      <c r="G61" s="77">
        <f t="shared" si="12"/>
        <v>149.25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((((($B$66*$B$67)/1000)*7)-$B$59-$B$60)/4)</f>
        <v>24.811249999999994</v>
      </c>
      <c r="C62" s="61">
        <f>((((($C$66*$C$67)/1000)*7)-$C$59-$C$60)/4)</f>
        <v>29.672499999999999</v>
      </c>
      <c r="D62" s="61">
        <f>((((($D$66*$D$67)/1000)*7)-$D$59-$D$60)/4)</f>
        <v>34.406250000000007</v>
      </c>
      <c r="E62" s="61">
        <f>((((($E$66*$E$67)/1000)*7)-$E$59-$E$60)/4)</f>
        <v>26.613749999999996</v>
      </c>
      <c r="F62" s="61">
        <f>((((($F$66*$F$67)/1000)*7)-$F$59-$F$60)/4)</f>
        <v>33.746250000000003</v>
      </c>
      <c r="G62" s="77">
        <f t="shared" si="12"/>
        <v>149.25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((((($B$66*$B$67)/1000)*7)-$B$59-$B$60)/4)</f>
        <v>24.811249999999994</v>
      </c>
      <c r="C63" s="61">
        <f>((((($C$66*$C$67)/1000)*7)-$C$59-$C$60)/4)</f>
        <v>29.672499999999999</v>
      </c>
      <c r="D63" s="61">
        <f>((((($D$66*$D$67)/1000)*7)-$D$59-$D$60)/4)</f>
        <v>34.406250000000007</v>
      </c>
      <c r="E63" s="61">
        <f>((((($E$66*$E$67)/1000)*7)-$E$59-$E$60)/4)</f>
        <v>26.613749999999996</v>
      </c>
      <c r="F63" s="61">
        <f>((((($F$66*$F$67)/1000)*7)-$F$59-$F$60)/4)</f>
        <v>33.746250000000003</v>
      </c>
      <c r="G63" s="77">
        <f t="shared" si="12"/>
        <v>149.25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((((($B$66*$B$67)/1000)*7)-$B$59-$B$60)/4)</f>
        <v>24.811249999999994</v>
      </c>
      <c r="C64" s="61">
        <f>((((($C$66*$C$67)/1000)*7)-$C$59-$C$60)/4)</f>
        <v>29.672499999999999</v>
      </c>
      <c r="D64" s="61">
        <f>((((($D$66*$D$67)/1000)*7)-$D$59-$D$60)/4)</f>
        <v>34.406250000000007</v>
      </c>
      <c r="E64" s="61">
        <f>((((($E$66*$E$67)/1000)*7)-$E$59-$E$60)/4)</f>
        <v>26.613749999999996</v>
      </c>
      <c r="F64" s="61">
        <f>((((($F$66*$F$67)/1000)*7)-$F$59-$F$60)/4)</f>
        <v>33.746250000000003</v>
      </c>
      <c r="G64" s="77">
        <f t="shared" si="12"/>
        <v>149.25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136.04499999999999</v>
      </c>
      <c r="C65" s="22">
        <f>SUM(C58:C64)</f>
        <v>162.88999999999999</v>
      </c>
      <c r="D65" s="22">
        <f>SUM(D58:D64)</f>
        <v>188.82500000000002</v>
      </c>
      <c r="E65" s="22">
        <f>SUM(E58:E64)</f>
        <v>146.05500000000001</v>
      </c>
      <c r="F65" s="22">
        <f>SUM(F58:F64)</f>
        <v>185.18500000000003</v>
      </c>
      <c r="G65" s="77">
        <f t="shared" si="12"/>
        <v>819.00000000000011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65</v>
      </c>
      <c r="C66" s="24">
        <v>65</v>
      </c>
      <c r="D66" s="24">
        <v>65</v>
      </c>
      <c r="E66" s="24">
        <v>65</v>
      </c>
      <c r="F66" s="24">
        <v>65</v>
      </c>
      <c r="G66" s="78">
        <f>+((G65/G67)/7)*1000</f>
        <v>65.000000000000014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299</v>
      </c>
      <c r="C67" s="79">
        <v>358</v>
      </c>
      <c r="D67" s="79">
        <v>415</v>
      </c>
      <c r="E67" s="79">
        <v>321</v>
      </c>
      <c r="F67" s="79">
        <v>407</v>
      </c>
      <c r="G67" s="82">
        <f>SUM(B67:F67)</f>
        <v>1800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19.434999999999999</v>
      </c>
      <c r="C68" s="31">
        <f>(C67*C66)/1000</f>
        <v>23.27</v>
      </c>
      <c r="D68" s="31">
        <f>(D67*D66)/1000</f>
        <v>26.975000000000001</v>
      </c>
      <c r="E68" s="31">
        <f>(E67*E66)/1000</f>
        <v>20.864999999999998</v>
      </c>
      <c r="F68" s="31">
        <f>(F67*F66)/1000</f>
        <v>26.454999999999998</v>
      </c>
      <c r="G68" s="86">
        <f>((G65*1000)/G67)/7</f>
        <v>65.000000000000014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136.04499999999999</v>
      </c>
      <c r="C69" s="35">
        <f>((C67*C66)*7)/1000</f>
        <v>162.88999999999999</v>
      </c>
      <c r="D69" s="35">
        <f>((D67*D66)*7)/1000</f>
        <v>188.82499999999999</v>
      </c>
      <c r="E69" s="35">
        <f>((E67*E66)*7)/1000</f>
        <v>146.05500000000001</v>
      </c>
      <c r="F69" s="35">
        <f>((F67*F66)*7)/1000</f>
        <v>185.185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64.999999999999986</v>
      </c>
      <c r="C70" s="38">
        <f>+(C65/C67)/7*1000</f>
        <v>64.999999999999986</v>
      </c>
      <c r="D70" s="38">
        <f>+(D65/D67)/7*1000</f>
        <v>65</v>
      </c>
      <c r="E70" s="38">
        <f>+(E65/E67)/7*1000</f>
        <v>65</v>
      </c>
      <c r="F70" s="38">
        <f>+(F65/F67)/7*1000</f>
        <v>65.000000000000014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7:O37"/>
    <mergeCell ref="O54:P54"/>
    <mergeCell ref="B55:F55"/>
    <mergeCell ref="Q36:T36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AI239"/>
  <sheetViews>
    <sheetView topLeftCell="B33" zoomScale="30" zoomScaleNormal="30" workbookViewId="0">
      <selection activeCell="Q41" sqref="Q41:S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58</v>
      </c>
      <c r="Q11" s="1022"/>
      <c r="R11" s="6"/>
      <c r="S11" s="6"/>
      <c r="T11" s="1"/>
      <c r="U11" s="1"/>
      <c r="V11" s="1" t="s">
        <v>6</v>
      </c>
      <c r="W11" s="95">
        <v>45420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6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26"/>
      <c r="M15" s="174"/>
      <c r="N15" s="174"/>
      <c r="O15" s="1026" t="s">
        <v>8</v>
      </c>
      <c r="P15" s="1026"/>
      <c r="Q15" s="1026"/>
      <c r="R15" s="1026"/>
      <c r="S15" s="1026"/>
      <c r="T15" s="1026"/>
      <c r="U15" s="1026"/>
      <c r="V15" s="1026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38.1</v>
      </c>
      <c r="C19" s="19">
        <v>30.7</v>
      </c>
      <c r="D19" s="19">
        <v>30.6</v>
      </c>
      <c r="E19" s="19">
        <v>33.299999999999997</v>
      </c>
      <c r="F19" s="19">
        <v>33.5</v>
      </c>
      <c r="G19" s="19">
        <v>33.4</v>
      </c>
      <c r="H19" s="19">
        <v>36.4</v>
      </c>
      <c r="I19" s="19">
        <v>36.5</v>
      </c>
      <c r="J19" s="19">
        <v>29.9</v>
      </c>
      <c r="K19" s="19">
        <v>29.8</v>
      </c>
      <c r="L19" s="19">
        <v>41.5</v>
      </c>
      <c r="M19" s="19">
        <v>31.8</v>
      </c>
      <c r="N19" s="20">
        <v>13.6</v>
      </c>
      <c r="O19" s="61">
        <v>17.100000000000001</v>
      </c>
      <c r="P19" s="19">
        <v>50.1</v>
      </c>
      <c r="Q19" s="19">
        <v>37</v>
      </c>
      <c r="R19" s="19">
        <v>37.1</v>
      </c>
      <c r="S19" s="19">
        <v>52.4</v>
      </c>
      <c r="T19" s="19">
        <v>49.3</v>
      </c>
      <c r="U19" s="19">
        <v>39.299999999999997</v>
      </c>
      <c r="V19" s="19">
        <v>28</v>
      </c>
      <c r="W19" s="19">
        <v>26.5</v>
      </c>
      <c r="X19" s="20"/>
      <c r="Y19" s="98">
        <f t="shared" si="0"/>
        <v>755.9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37.808999999999997</v>
      </c>
      <c r="C20" s="19">
        <f>((((($C$26*$C$27)/1000)*7)-$C$19)/4)</f>
        <v>30.465374999999998</v>
      </c>
      <c r="D20" s="19">
        <f>((((($D$26*$D$27)/1000)*7)-$D$19)/4)</f>
        <v>30.490375</v>
      </c>
      <c r="E20" s="19">
        <f>((((($E$26*$E$27)/1000)*7)-$E$19)/4)</f>
        <v>33.097499999999997</v>
      </c>
      <c r="F20" s="19">
        <f>((((($F$26*$F$27)/1000)*7)-$F$19)/4)</f>
        <v>33.205000000000005</v>
      </c>
      <c r="G20" s="19">
        <f>((((($G$26*$G$27)/1000)*7)-$G$19)/4)</f>
        <v>33.151249999999997</v>
      </c>
      <c r="H20" s="19">
        <f>((((($H$26*$H$27)/1000)*7)-$H$19)/4)</f>
        <v>35.637</v>
      </c>
      <c r="I20" s="19">
        <f>((((($I$26*$I$27)/1000)*7)-$I$19)/4)</f>
        <v>36.628749999999997</v>
      </c>
      <c r="J20" s="19">
        <f>((((($J$26*$J$27)/1000)*7)-$J$19)/4)</f>
        <v>29.671375000000005</v>
      </c>
      <c r="K20" s="19">
        <f>((((($K$26*$K$27)/1000)*7)-$K$19)/4)</f>
        <v>29.462750000000003</v>
      </c>
      <c r="L20" s="19">
        <f>((((($L$26*$L$27)/1000)*7)-$L$19)/4)</f>
        <v>40.870249999999999</v>
      </c>
      <c r="M20" s="19">
        <f>((((($M$26*$M$27)/1000)*7)-$M$19)/4)</f>
        <v>31.691875</v>
      </c>
      <c r="N20" s="20">
        <f>((((($N$26*$N$27)/1000)*7)-$N$19)/4)</f>
        <v>13.505000000000001</v>
      </c>
      <c r="O20" s="61">
        <f>((((($O$26*$O$27)/1000)*7)-$O$19)/4)</f>
        <v>17.554499999999997</v>
      </c>
      <c r="P20" s="19">
        <f>((((($P$26*$P$27)/1000)*7)-$P$19)/4)</f>
        <v>50.282500000000006</v>
      </c>
      <c r="Q20" s="19">
        <f>((((($Q$26*$Q$27)/1000)*7)-$Q$19)/4)</f>
        <v>36.32</v>
      </c>
      <c r="R20" s="19">
        <f>((((($R$26*$R$27)/1000)*7)-$R$19)/4)</f>
        <v>36.376375000000003</v>
      </c>
      <c r="S20" s="19">
        <f>((((($S$26*$S$27)/1000)*7)-$S$19)/4)</f>
        <v>52.265999999999998</v>
      </c>
      <c r="T20" s="19">
        <f>((((($T$26*$T$27)/1000)*7)-$T$19)/4)</f>
        <v>49.415000000000006</v>
      </c>
      <c r="U20" s="19">
        <f>((((($U$26*$U$27)/1000)*7)-$U$19)/4)</f>
        <v>39.391999999999996</v>
      </c>
      <c r="V20" s="19">
        <f>((((($V$26*$V$27)/1000)*7)-$V$19)/4)</f>
        <v>28.093625000000003</v>
      </c>
      <c r="W20" s="19">
        <f>((((($W$26*$W$27)/1000)*7)-$W$19)/4)</f>
        <v>26.248750000000001</v>
      </c>
      <c r="X20" s="20"/>
      <c r="Y20" s="98">
        <f t="shared" si="0"/>
        <v>751.63425000000007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37.808999999999997</v>
      </c>
      <c r="C21" s="19">
        <f>((((($C$26*$C$27)/1000)*7)-$C$19)/4)</f>
        <v>30.465374999999998</v>
      </c>
      <c r="D21" s="19">
        <f>((((($D$26*$D$27)/1000)*7)-$D$19)/4)</f>
        <v>30.490375</v>
      </c>
      <c r="E21" s="19">
        <f>((((($E$26*$E$27)/1000)*7)-$E$19)/4)</f>
        <v>33.097499999999997</v>
      </c>
      <c r="F21" s="19">
        <f>((((($F$26*$F$27)/1000)*7)-$F$19)/4)</f>
        <v>33.205000000000005</v>
      </c>
      <c r="G21" s="19">
        <f>((((($G$26*$G$27)/1000)*7)-$G$19)/4)</f>
        <v>33.151249999999997</v>
      </c>
      <c r="H21" s="19">
        <f>((((($H$26*$H$27)/1000)*7)-$H$19)/4)</f>
        <v>35.637</v>
      </c>
      <c r="I21" s="19">
        <f>((((($I$26*$I$27)/1000)*7)-$I$19)/4)</f>
        <v>36.628749999999997</v>
      </c>
      <c r="J21" s="19">
        <f>((((($J$26*$J$27)/1000)*7)-$J$19)/4)</f>
        <v>29.671375000000005</v>
      </c>
      <c r="K21" s="19">
        <f>((((($K$26*$K$27)/1000)*7)-$K$19)/4)</f>
        <v>29.462750000000003</v>
      </c>
      <c r="L21" s="19">
        <f>((((($L$26*$L$27)/1000)*7)-$L$19)/4)</f>
        <v>40.870249999999999</v>
      </c>
      <c r="M21" s="19">
        <f>((((($M$26*$M$27)/1000)*7)-$M$19)/4)</f>
        <v>31.691875</v>
      </c>
      <c r="N21" s="20">
        <f>((((($N$26*$N$27)/1000)*7)-$N$19)/4)</f>
        <v>13.505000000000001</v>
      </c>
      <c r="O21" s="61">
        <f>((((($O$26*$O$27)/1000)*7)-$O$19)/4)</f>
        <v>17.554499999999997</v>
      </c>
      <c r="P21" s="19">
        <f>((((($P$26*$P$27)/1000)*7)-$P$19)/4)</f>
        <v>50.282500000000006</v>
      </c>
      <c r="Q21" s="19">
        <f>((((($Q$26*$Q$27)/1000)*7)-$Q$19)/4)</f>
        <v>36.32</v>
      </c>
      <c r="R21" s="19">
        <f>((((($R$26*$R$27)/1000)*7)-$R$19)/4)</f>
        <v>36.376375000000003</v>
      </c>
      <c r="S21" s="19">
        <f>((((($S$26*$S$27)/1000)*7)-$S$19)/4)</f>
        <v>52.265999999999998</v>
      </c>
      <c r="T21" s="19">
        <f>((((($T$26*$T$27)/1000)*7)-$T$19)/4)</f>
        <v>49.415000000000006</v>
      </c>
      <c r="U21" s="19">
        <f>((((($U$26*$U$27)/1000)*7)-$U$19)/4)</f>
        <v>39.391999999999996</v>
      </c>
      <c r="V21" s="19">
        <f>((((($V$26*$V$27)/1000)*7)-$V$19)/4)</f>
        <v>28.093625000000003</v>
      </c>
      <c r="W21" s="19">
        <f>((((($W$26*$W$27)/1000)*7)-$W$19)/4)</f>
        <v>26.248750000000001</v>
      </c>
      <c r="X21" s="20"/>
      <c r="Y21" s="98">
        <f t="shared" si="0"/>
        <v>751.63425000000007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37.808999999999997</v>
      </c>
      <c r="C23" s="19">
        <f>((((($C$26*$C$27)/1000)*7)-$C$19)/4)</f>
        <v>30.465374999999998</v>
      </c>
      <c r="D23" s="19">
        <f>((((($D$26*$D$27)/1000)*7)-$D$19)/4)</f>
        <v>30.490375</v>
      </c>
      <c r="E23" s="19">
        <f>((((($E$26*$E$27)/1000)*7)-$E$19)/4)</f>
        <v>33.097499999999997</v>
      </c>
      <c r="F23" s="19">
        <f>((((($F$26*$F$27)/1000)*7)-$F$19)/4)</f>
        <v>33.205000000000005</v>
      </c>
      <c r="G23" s="19">
        <f>((((($G$26*$G$27)/1000)*7)-$G$19)/4)</f>
        <v>33.151249999999997</v>
      </c>
      <c r="H23" s="19">
        <f>((((($H$26*$H$27)/1000)*7)-$H$19)/4)</f>
        <v>35.637</v>
      </c>
      <c r="I23" s="19">
        <f>((((($I$26*$I$27)/1000)*7)-$I$19)/4)</f>
        <v>36.628749999999997</v>
      </c>
      <c r="J23" s="19">
        <f>((((($J$26*$J$27)/1000)*7)-$J$19)/4)</f>
        <v>29.671375000000005</v>
      </c>
      <c r="K23" s="19">
        <f>((((($K$26*$K$27)/1000)*7)-$K$19)/4)</f>
        <v>29.462750000000003</v>
      </c>
      <c r="L23" s="19">
        <f>((((($L$26*$L$27)/1000)*7)-$L$19)/4)</f>
        <v>40.870249999999999</v>
      </c>
      <c r="M23" s="19">
        <f>((((($M$26*$M$27)/1000)*7)-$M$19)/4)</f>
        <v>31.691875</v>
      </c>
      <c r="N23" s="20">
        <f>((((($N$26*$N$27)/1000)*7)-$N$19)/4)</f>
        <v>13.505000000000001</v>
      </c>
      <c r="O23" s="61">
        <f>((((($O$26*$O$27)/1000)*7)-$O$19)/4)</f>
        <v>17.554499999999997</v>
      </c>
      <c r="P23" s="19">
        <f>((((($P$26*$P$27)/1000)*7)-$P$19)/4)</f>
        <v>50.282500000000006</v>
      </c>
      <c r="Q23" s="19">
        <f>((((($Q$26*$Q$27)/1000)*7)-$Q$19)/4)</f>
        <v>36.32</v>
      </c>
      <c r="R23" s="19">
        <f>((((($R$26*$R$27)/1000)*7)-$R$19)/4)</f>
        <v>36.376375000000003</v>
      </c>
      <c r="S23" s="19">
        <f>((((($S$26*$S$27)/1000)*7)-$S$19)/4)</f>
        <v>52.265999999999998</v>
      </c>
      <c r="T23" s="19">
        <f>((((($T$26*$T$27)/1000)*7)-$T$19)/4)</f>
        <v>49.415000000000006</v>
      </c>
      <c r="U23" s="19">
        <f>((((($U$26*$U$27)/1000)*7)-$U$19)/4)</f>
        <v>39.391999999999996</v>
      </c>
      <c r="V23" s="19">
        <f>((((($V$26*$V$27)/1000)*7)-$V$19)/4)</f>
        <v>28.093625000000003</v>
      </c>
      <c r="W23" s="19">
        <f>((((($W$26*$W$27)/1000)*7)-$W$19)/4)</f>
        <v>26.248750000000001</v>
      </c>
      <c r="X23" s="20"/>
      <c r="Y23" s="98">
        <f t="shared" si="0"/>
        <v>751.63425000000007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37.808999999999997</v>
      </c>
      <c r="C24" s="19">
        <f>((((($C$26*$C$27)/1000)*7)-$C$19)/4)</f>
        <v>30.465374999999998</v>
      </c>
      <c r="D24" s="19">
        <f>((((($D$26*$D$27)/1000)*7)-$D$19)/4)</f>
        <v>30.490375</v>
      </c>
      <c r="E24" s="19">
        <f>((((($E$26*$E$27)/1000)*7)-$E$19)/4)</f>
        <v>33.097499999999997</v>
      </c>
      <c r="F24" s="19">
        <f>((((($F$26*$F$27)/1000)*7)-$F$19)/4)</f>
        <v>33.205000000000005</v>
      </c>
      <c r="G24" s="19">
        <f>((((($G$26*$G$27)/1000)*7)-$G$19)/4)</f>
        <v>33.151249999999997</v>
      </c>
      <c r="H24" s="19">
        <f>((((($H$26*$H$27)/1000)*7)-$H$19)/4)</f>
        <v>35.637</v>
      </c>
      <c r="I24" s="19">
        <f>((((($I$26*$I$27)/1000)*7)-$I$19)/4)</f>
        <v>36.628749999999997</v>
      </c>
      <c r="J24" s="19">
        <f>((((($J$26*$J$27)/1000)*7)-$J$19)/4)</f>
        <v>29.671375000000005</v>
      </c>
      <c r="K24" s="19">
        <f>((((($K$26*$K$27)/1000)*7)-$K$19)/4)</f>
        <v>29.462750000000003</v>
      </c>
      <c r="L24" s="19">
        <f>((((($L$26*$L$27)/1000)*7)-$L$19)/4)</f>
        <v>40.870249999999999</v>
      </c>
      <c r="M24" s="19">
        <f>((((($M$26*$M$27)/1000)*7)-$M$19)/4)</f>
        <v>31.691875</v>
      </c>
      <c r="N24" s="20">
        <f>((((($N$26*$N$27)/1000)*7)-$N$19)/4)</f>
        <v>13.505000000000001</v>
      </c>
      <c r="O24" s="61">
        <f>((((($O$26*$O$27)/1000)*7)-$O$19)/4)</f>
        <v>17.554499999999997</v>
      </c>
      <c r="P24" s="19">
        <f>((((($P$26*$P$27)/1000)*7)-$P$19)/4)</f>
        <v>50.282500000000006</v>
      </c>
      <c r="Q24" s="19">
        <f>((((($Q$26*$Q$27)/1000)*7)-$Q$19)/4)</f>
        <v>36.32</v>
      </c>
      <c r="R24" s="19">
        <f>((((($R$26*$R$27)/1000)*7)-$R$19)/4)</f>
        <v>36.376375000000003</v>
      </c>
      <c r="S24" s="19">
        <f>((((($S$26*$S$27)/1000)*7)-$S$19)/4)</f>
        <v>52.265999999999998</v>
      </c>
      <c r="T24" s="19">
        <f>((((($T$26*$T$27)/1000)*7)-$T$19)/4)</f>
        <v>49.415000000000006</v>
      </c>
      <c r="U24" s="19">
        <f>((((($U$26*$U$27)/1000)*7)-$U$19)/4)</f>
        <v>39.391999999999996</v>
      </c>
      <c r="V24" s="19">
        <f>((((($V$26*$V$27)/1000)*7)-$V$19)/4)</f>
        <v>28.093625000000003</v>
      </c>
      <c r="W24" s="19">
        <f>((((($W$26*$W$27)/1000)*7)-$W$19)/4)</f>
        <v>26.248750000000001</v>
      </c>
      <c r="X24" s="20"/>
      <c r="Y24" s="98">
        <f t="shared" si="0"/>
        <v>751.63425000000007</v>
      </c>
      <c r="AA24" s="2"/>
    </row>
    <row r="25" spans="1:35" ht="41.45" customHeight="1" x14ac:dyDescent="0.25">
      <c r="A25" s="182" t="s">
        <v>9</v>
      </c>
      <c r="B25" s="21">
        <f>SUM(B18:B24)</f>
        <v>189.33599999999998</v>
      </c>
      <c r="C25" s="22">
        <f>SUM(C18:C24)</f>
        <v>152.5615</v>
      </c>
      <c r="D25" s="22">
        <f>SUM(D18:D24)</f>
        <v>152.5615</v>
      </c>
      <c r="E25" s="22">
        <f>SUM(E18:E24)</f>
        <v>165.68999999999997</v>
      </c>
      <c r="F25" s="22">
        <f>SUM(F18:F24)</f>
        <v>166.32000000000005</v>
      </c>
      <c r="G25" s="22">
        <f t="shared" ref="G25:W25" si="1">SUM(G18:G24)</f>
        <v>166.005</v>
      </c>
      <c r="H25" s="22">
        <f t="shared" si="1"/>
        <v>178.94800000000001</v>
      </c>
      <c r="I25" s="22">
        <f t="shared" si="1"/>
        <v>183.01499999999999</v>
      </c>
      <c r="J25" s="22">
        <f>SUM(J18:J24)</f>
        <v>148.58550000000002</v>
      </c>
      <c r="K25" s="22">
        <f t="shared" si="1"/>
        <v>147.65100000000001</v>
      </c>
      <c r="L25" s="22">
        <f t="shared" si="1"/>
        <v>204.98099999999999</v>
      </c>
      <c r="M25" s="22">
        <f t="shared" si="1"/>
        <v>158.5675</v>
      </c>
      <c r="N25" s="153">
        <f t="shared" si="1"/>
        <v>67.62</v>
      </c>
      <c r="O25" s="62">
        <f t="shared" si="1"/>
        <v>87.317999999999984</v>
      </c>
      <c r="P25" s="22">
        <f t="shared" si="1"/>
        <v>251.23000000000002</v>
      </c>
      <c r="Q25" s="22">
        <f t="shared" si="1"/>
        <v>182.27999999999997</v>
      </c>
      <c r="R25" s="22">
        <f t="shared" si="1"/>
        <v>182.60550000000001</v>
      </c>
      <c r="S25" s="19">
        <f>SUM(S18:S24)</f>
        <v>261.464</v>
      </c>
      <c r="T25" s="199">
        <f>SUM(T18:T24)</f>
        <v>246.96000000000004</v>
      </c>
      <c r="U25" s="199">
        <f>SUM(U18:U24)</f>
        <v>196.86799999999999</v>
      </c>
      <c r="V25" s="199">
        <f>SUM(V18:V24)</f>
        <v>140.37450000000001</v>
      </c>
      <c r="W25" s="199">
        <f t="shared" si="1"/>
        <v>131.495</v>
      </c>
      <c r="X25" s="20"/>
      <c r="Y25" s="98">
        <f>SUM(Y18:Y24)</f>
        <v>3762.4370000000004</v>
      </c>
    </row>
    <row r="26" spans="1:35" s="2" customFormat="1" ht="36.75" customHeight="1" x14ac:dyDescent="0.25">
      <c r="A26" s="148" t="s">
        <v>11</v>
      </c>
      <c r="B26" s="23">
        <v>46</v>
      </c>
      <c r="C26" s="24">
        <v>45.5</v>
      </c>
      <c r="D26" s="24">
        <v>45.5</v>
      </c>
      <c r="E26" s="24">
        <v>45</v>
      </c>
      <c r="F26" s="24">
        <v>45</v>
      </c>
      <c r="G26" s="24">
        <v>45</v>
      </c>
      <c r="H26" s="24">
        <v>44</v>
      </c>
      <c r="I26" s="24">
        <v>45</v>
      </c>
      <c r="J26" s="24">
        <v>44.5</v>
      </c>
      <c r="K26" s="24">
        <v>44.5</v>
      </c>
      <c r="L26" s="24">
        <v>43</v>
      </c>
      <c r="M26" s="24">
        <v>42.5</v>
      </c>
      <c r="N26" s="25">
        <v>42</v>
      </c>
      <c r="O26" s="63">
        <v>49.5</v>
      </c>
      <c r="P26" s="24">
        <v>48.5</v>
      </c>
      <c r="Q26" s="24">
        <v>46.5</v>
      </c>
      <c r="R26" s="24">
        <v>46.5</v>
      </c>
      <c r="S26" s="24">
        <v>46</v>
      </c>
      <c r="T26" s="24">
        <v>45</v>
      </c>
      <c r="U26" s="24">
        <v>44.5</v>
      </c>
      <c r="V26" s="24">
        <v>43.5</v>
      </c>
      <c r="W26" s="24">
        <v>42.5</v>
      </c>
      <c r="X26" s="25"/>
      <c r="Y26" s="99">
        <f>((Y25/Y27)/7)*1000</f>
        <v>45.06128437290409</v>
      </c>
    </row>
    <row r="27" spans="1:35" s="2" customFormat="1" ht="33" customHeight="1" x14ac:dyDescent="0.25">
      <c r="A27" s="149" t="s">
        <v>12</v>
      </c>
      <c r="B27" s="26">
        <v>588</v>
      </c>
      <c r="C27" s="27">
        <v>479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230</v>
      </c>
      <c r="O27" s="64">
        <v>252</v>
      </c>
      <c r="P27" s="27">
        <v>740</v>
      </c>
      <c r="Q27" s="27">
        <v>560</v>
      </c>
      <c r="R27" s="27">
        <v>561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11928</v>
      </c>
    </row>
    <row r="28" spans="1:35" s="2" customFormat="1" ht="33" customHeight="1" x14ac:dyDescent="0.25">
      <c r="A28" s="150" t="s">
        <v>13</v>
      </c>
      <c r="B28" s="30">
        <f>(B27*B26)/1000</f>
        <v>27.047999999999998</v>
      </c>
      <c r="C28" s="31">
        <f>(C27*C26)/1000</f>
        <v>21.794499999999999</v>
      </c>
      <c r="D28" s="31">
        <f>(D27*D26)/1000</f>
        <v>21.794499999999999</v>
      </c>
      <c r="E28" s="31">
        <f>(E27*E26)/1000</f>
        <v>23.67</v>
      </c>
      <c r="F28" s="31">
        <f>(F27*F26)/1000</f>
        <v>23.76</v>
      </c>
      <c r="G28" s="31">
        <f t="shared" ref="G28:W28" si="2">(G27*G26)/1000</f>
        <v>23.715</v>
      </c>
      <c r="H28" s="31">
        <f t="shared" si="2"/>
        <v>25.564</v>
      </c>
      <c r="I28" s="31">
        <f t="shared" si="2"/>
        <v>26.145</v>
      </c>
      <c r="J28" s="31">
        <f t="shared" si="2"/>
        <v>21.226500000000001</v>
      </c>
      <c r="K28" s="31">
        <f t="shared" si="2"/>
        <v>21.093</v>
      </c>
      <c r="L28" s="31">
        <f t="shared" si="2"/>
        <v>29.283000000000001</v>
      </c>
      <c r="M28" s="31">
        <f t="shared" si="2"/>
        <v>22.6525</v>
      </c>
      <c r="N28" s="32">
        <f t="shared" si="2"/>
        <v>9.66</v>
      </c>
      <c r="O28" s="65">
        <f t="shared" si="2"/>
        <v>12.474</v>
      </c>
      <c r="P28" s="31">
        <f t="shared" si="2"/>
        <v>35.89</v>
      </c>
      <c r="Q28" s="31">
        <f t="shared" si="2"/>
        <v>26.04</v>
      </c>
      <c r="R28" s="31">
        <f t="shared" si="2"/>
        <v>26.086500000000001</v>
      </c>
      <c r="S28" s="31">
        <f t="shared" si="2"/>
        <v>37.351999999999997</v>
      </c>
      <c r="T28" s="31">
        <f t="shared" si="2"/>
        <v>35.28</v>
      </c>
      <c r="U28" s="31">
        <f t="shared" si="2"/>
        <v>28.123999999999999</v>
      </c>
      <c r="V28" s="31">
        <f t="shared" si="2"/>
        <v>20.0535</v>
      </c>
      <c r="W28" s="31">
        <f t="shared" si="2"/>
        <v>18.785</v>
      </c>
      <c r="X28" s="32"/>
      <c r="Y28" s="33">
        <f>((Y25*1000)/7)/Y27</f>
        <v>45.061284372904097</v>
      </c>
    </row>
    <row r="29" spans="1:35" ht="33.75" customHeight="1" x14ac:dyDescent="0.25">
      <c r="A29" s="151" t="s">
        <v>14</v>
      </c>
      <c r="B29" s="34">
        <f>((B27*B26)*7)/1000</f>
        <v>189.33600000000001</v>
      </c>
      <c r="C29" s="35">
        <f t="shared" ref="C29:N29" si="3">((C27*C26)*6)/1000</f>
        <v>130.767</v>
      </c>
      <c r="D29" s="35">
        <f t="shared" si="3"/>
        <v>130.767</v>
      </c>
      <c r="E29" s="35">
        <f t="shared" si="3"/>
        <v>142.02000000000001</v>
      </c>
      <c r="F29" s="35">
        <f t="shared" si="3"/>
        <v>142.56</v>
      </c>
      <c r="G29" s="35">
        <f t="shared" si="3"/>
        <v>142.29</v>
      </c>
      <c r="H29" s="35">
        <f t="shared" si="3"/>
        <v>153.38399999999999</v>
      </c>
      <c r="I29" s="35">
        <f t="shared" si="3"/>
        <v>156.87</v>
      </c>
      <c r="J29" s="35">
        <f t="shared" si="3"/>
        <v>127.35899999999999</v>
      </c>
      <c r="K29" s="35">
        <f t="shared" si="3"/>
        <v>126.55800000000001</v>
      </c>
      <c r="L29" s="35">
        <f t="shared" si="3"/>
        <v>175.69800000000001</v>
      </c>
      <c r="M29" s="35">
        <f t="shared" si="3"/>
        <v>135.91499999999999</v>
      </c>
      <c r="N29" s="68">
        <f t="shared" si="3"/>
        <v>57.96</v>
      </c>
      <c r="O29" s="66">
        <f t="shared" ref="O29:W29" si="4">((O27*O26)*4)/1000</f>
        <v>49.896000000000001</v>
      </c>
      <c r="P29" s="35">
        <f t="shared" si="4"/>
        <v>143.56</v>
      </c>
      <c r="Q29" s="35">
        <f t="shared" si="4"/>
        <v>104.16</v>
      </c>
      <c r="R29" s="35">
        <f t="shared" si="4"/>
        <v>104.346</v>
      </c>
      <c r="S29" s="35">
        <f t="shared" si="4"/>
        <v>149.40799999999999</v>
      </c>
      <c r="T29" s="35">
        <f t="shared" si="4"/>
        <v>141.12</v>
      </c>
      <c r="U29" s="35">
        <f t="shared" si="4"/>
        <v>112.496</v>
      </c>
      <c r="V29" s="35">
        <f t="shared" si="4"/>
        <v>80.213999999999999</v>
      </c>
      <c r="W29" s="35">
        <f t="shared" si="4"/>
        <v>75.14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45.999999999999993</v>
      </c>
      <c r="C30" s="38">
        <f t="shared" si="5"/>
        <v>45.5</v>
      </c>
      <c r="D30" s="38">
        <f t="shared" si="5"/>
        <v>45.5</v>
      </c>
      <c r="E30" s="38">
        <f t="shared" si="5"/>
        <v>44.999999999999993</v>
      </c>
      <c r="F30" s="38">
        <f t="shared" si="5"/>
        <v>45.000000000000021</v>
      </c>
      <c r="G30" s="38">
        <f t="shared" si="5"/>
        <v>45</v>
      </c>
      <c r="H30" s="38">
        <f t="shared" si="5"/>
        <v>44</v>
      </c>
      <c r="I30" s="38">
        <f t="shared" si="5"/>
        <v>45</v>
      </c>
      <c r="J30" s="38">
        <f t="shared" si="5"/>
        <v>44.500000000000007</v>
      </c>
      <c r="K30" s="38">
        <f t="shared" si="5"/>
        <v>44.5</v>
      </c>
      <c r="L30" s="38">
        <f t="shared" si="5"/>
        <v>43</v>
      </c>
      <c r="M30" s="38">
        <f t="shared" si="5"/>
        <v>42.499999999999993</v>
      </c>
      <c r="N30" s="39">
        <f t="shared" si="5"/>
        <v>42</v>
      </c>
      <c r="O30" s="67">
        <f t="shared" si="5"/>
        <v>49.499999999999986</v>
      </c>
      <c r="P30" s="38">
        <f t="shared" si="5"/>
        <v>48.5</v>
      </c>
      <c r="Q30" s="38">
        <f t="shared" si="5"/>
        <v>46.499999999999993</v>
      </c>
      <c r="R30" s="38">
        <f t="shared" si="5"/>
        <v>46.5</v>
      </c>
      <c r="S30" s="38">
        <f t="shared" si="5"/>
        <v>46</v>
      </c>
      <c r="T30" s="38">
        <f t="shared" si="5"/>
        <v>45.000000000000007</v>
      </c>
      <c r="U30" s="38">
        <f t="shared" si="5"/>
        <v>44.5</v>
      </c>
      <c r="V30" s="38">
        <f t="shared" si="5"/>
        <v>43.500000000000007</v>
      </c>
      <c r="W30" s="38">
        <f t="shared" si="5"/>
        <v>42.499999999999993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31" t="s">
        <v>8</v>
      </c>
      <c r="C36" s="1032"/>
      <c r="D36" s="1032"/>
      <c r="E36" s="1032"/>
      <c r="F36" s="1032"/>
      <c r="G36" s="1032"/>
      <c r="H36" s="1033"/>
      <c r="I36" s="177"/>
      <c r="O36" s="44"/>
      <c r="P36" s="88" t="s">
        <v>18</v>
      </c>
      <c r="Q36" s="1031" t="s">
        <v>8</v>
      </c>
      <c r="R36" s="1032"/>
      <c r="S36" s="1032"/>
      <c r="T36" s="1033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34"/>
      <c r="M37" s="1034"/>
      <c r="N37" s="1034"/>
      <c r="O37" s="1034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23.6</v>
      </c>
      <c r="C40" s="19">
        <v>38.4</v>
      </c>
      <c r="D40" s="19">
        <v>52.2</v>
      </c>
      <c r="E40" s="19">
        <v>28.4</v>
      </c>
      <c r="F40" s="19">
        <v>28.6</v>
      </c>
      <c r="G40" s="19">
        <v>42.7</v>
      </c>
      <c r="H40" s="20">
        <v>28.7</v>
      </c>
      <c r="I40" s="127">
        <f t="shared" si="6"/>
        <v>242.59999999999997</v>
      </c>
      <c r="J40" s="49"/>
      <c r="K40" s="49"/>
      <c r="L40" s="43"/>
      <c r="M40" s="43"/>
      <c r="N40" s="43"/>
      <c r="O40" s="2"/>
      <c r="P40" s="96" t="s">
        <v>24</v>
      </c>
      <c r="Q40" s="101">
        <v>17.600000000000001</v>
      </c>
      <c r="R40" s="101">
        <v>11.9</v>
      </c>
      <c r="S40" s="101">
        <v>11.5</v>
      </c>
      <c r="T40" s="77">
        <f t="shared" si="7"/>
        <v>41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23.766000000000005</v>
      </c>
      <c r="C41" s="19">
        <f>((((($C$47*$C$48)/1000)*7)-$C$40)/4)</f>
        <v>39.308999999999997</v>
      </c>
      <c r="D41" s="19">
        <f>((((($D$47*$D$48)/1000)*7)-$D$40)/4)</f>
        <v>53.012500000000003</v>
      </c>
      <c r="E41" s="19">
        <f>(((($E$47*$E$48)/1000)*7)-$E$40)/4</f>
        <v>28.547499999999999</v>
      </c>
      <c r="F41" s="19">
        <f>((((($F$47*$F$48)/1000)*7)-$F$40)/4)</f>
        <v>28.950750000000006</v>
      </c>
      <c r="G41" s="19">
        <f>((((($G$47*$G$48)/1000)*7)-$G$40)/4)</f>
        <v>43.475250000000003</v>
      </c>
      <c r="H41" s="20">
        <f>((((($H$47*$H$48)/1000)*7)-$H$40)/4)</f>
        <v>29.233749999999997</v>
      </c>
      <c r="I41" s="127">
        <f t="shared" si="6"/>
        <v>246.29474999999996</v>
      </c>
      <c r="J41" s="49"/>
      <c r="K41" s="49"/>
      <c r="L41" s="43"/>
      <c r="M41" s="43"/>
      <c r="N41" s="43"/>
      <c r="O41" s="2"/>
      <c r="P41" s="96" t="s">
        <v>20</v>
      </c>
      <c r="Q41" s="101">
        <f>((((($Q$47*$Q$48)/1000)*7)-$Q$40)/4)</f>
        <v>20.555</v>
      </c>
      <c r="R41" s="101">
        <f>((((($R$47*$R$48)/1000)*7)-$R$40)/4)</f>
        <v>13.951000000000002</v>
      </c>
      <c r="S41" s="101">
        <f>((((($S$47*$S$48)/1000)*7)-$S$40)/4)</f>
        <v>13.400000000000002</v>
      </c>
      <c r="T41" s="77">
        <f t="shared" si="7"/>
        <v>47.906000000000006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23.766000000000005</v>
      </c>
      <c r="C42" s="19">
        <f>((((($C$47*$C$48)/1000)*7)-$C$40)/4)</f>
        <v>39.308999999999997</v>
      </c>
      <c r="D42" s="19">
        <f>((((($D$47*$D$48)/1000)*7)-$D$40)/4)</f>
        <v>53.012500000000003</v>
      </c>
      <c r="E42" s="19">
        <f>(((($E$47*$E$48)/1000)*7)-$E$40)/4</f>
        <v>28.547499999999999</v>
      </c>
      <c r="F42" s="19">
        <f>((((($F$47*$F$48)/1000)*7)-$F$40)/4)</f>
        <v>28.950750000000006</v>
      </c>
      <c r="G42" s="19">
        <f>((((($G$47*$G$48)/1000)*7)-$G$40)/4)</f>
        <v>43.475250000000003</v>
      </c>
      <c r="H42" s="20">
        <f>((((($H$47*$H$48)/1000)*7)-$H$40)/4)</f>
        <v>29.233749999999997</v>
      </c>
      <c r="I42" s="127">
        <f t="shared" si="6"/>
        <v>246.29474999999996</v>
      </c>
      <c r="J42" s="41"/>
      <c r="K42" s="49"/>
      <c r="L42" s="43"/>
      <c r="M42" s="43"/>
      <c r="N42" s="43"/>
      <c r="O42" s="2"/>
      <c r="P42" s="96" t="s">
        <v>28</v>
      </c>
      <c r="Q42" s="101">
        <f>((((($Q$47*$Q$48)/1000)*7)-$Q$40)/4)</f>
        <v>20.555</v>
      </c>
      <c r="R42" s="101">
        <f>((((($R$47*$R$48)/1000)*7)-$R$40)/4)</f>
        <v>13.951000000000002</v>
      </c>
      <c r="S42" s="101">
        <f>((((($S$47*$S$48)/1000)*7)-$S$40)/4)</f>
        <v>13.400000000000002</v>
      </c>
      <c r="T42" s="77">
        <f t="shared" si="7"/>
        <v>47.906000000000006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101"/>
      <c r="R43" s="101"/>
      <c r="S43" s="101"/>
      <c r="T43" s="7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23.766000000000005</v>
      </c>
      <c r="C44" s="19">
        <f>((((($C$47*$C$48)/1000)*7)-$C$40)/4)</f>
        <v>39.308999999999997</v>
      </c>
      <c r="D44" s="19">
        <f>((((($D$47*$D$48)/1000)*7)-$D$40)/4)</f>
        <v>53.012500000000003</v>
      </c>
      <c r="E44" s="19">
        <f>(((($E$47*$E$48)/1000)*7)-$E$40)/4</f>
        <v>28.547499999999999</v>
      </c>
      <c r="F44" s="19">
        <f>((((($F$47*$F$48)/1000)*7)-$F$40)/4)</f>
        <v>28.950750000000006</v>
      </c>
      <c r="G44" s="19">
        <f>((((($G$47*$G$48)/1000)*7)-$G$40)/4)</f>
        <v>43.475250000000003</v>
      </c>
      <c r="H44" s="20">
        <f>((((($H$47*$H$48)/1000)*7)-$H$40)/4)</f>
        <v>29.233749999999997</v>
      </c>
      <c r="I44" s="127">
        <f t="shared" si="6"/>
        <v>246.29474999999996</v>
      </c>
      <c r="J44" s="56"/>
      <c r="K44" s="49"/>
      <c r="L44" s="43"/>
      <c r="M44" s="43"/>
      <c r="N44" s="43"/>
      <c r="O44" s="2"/>
      <c r="P44" s="96" t="s">
        <v>22</v>
      </c>
      <c r="Q44" s="101">
        <f>((((($Q$47*$Q$48)/1000)*7)-$Q$40)/4)</f>
        <v>20.555</v>
      </c>
      <c r="R44" s="101">
        <f>((((($R$47*$R$48)/1000)*7)-$R$40)/4)</f>
        <v>13.951000000000002</v>
      </c>
      <c r="S44" s="101">
        <f>((((($S$47*$S$48)/1000)*7)-$S$40)/4)</f>
        <v>13.400000000000002</v>
      </c>
      <c r="T44" s="77">
        <f t="shared" si="7"/>
        <v>47.906000000000006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((((($B$47*$B$48)/1000)*7)-$B$40)/4)</f>
        <v>23.766000000000005</v>
      </c>
      <c r="C45" s="19">
        <f>((((($C$47*$C$48)/1000)*7)-$C$40)/4)</f>
        <v>39.308999999999997</v>
      </c>
      <c r="D45" s="19">
        <f>((((($D$47*$D$48)/1000)*7)-$D$40)/4)</f>
        <v>53.012500000000003</v>
      </c>
      <c r="E45" s="19">
        <f>(((($E$47*$E$48)/1000)*7)-$E$40)/4</f>
        <v>28.547499999999999</v>
      </c>
      <c r="F45" s="19">
        <f>((((($F$47*$F$48)/1000)*7)-$F$40)/4)</f>
        <v>28.950750000000006</v>
      </c>
      <c r="G45" s="19">
        <f>((((($G$47*$G$48)/1000)*7)-$G$40)/4)</f>
        <v>43.475250000000003</v>
      </c>
      <c r="H45" s="20">
        <f>((((($H$47*$H$48)/1000)*7)-$H$40)/4)</f>
        <v>29.233749999999997</v>
      </c>
      <c r="I45" s="127">
        <f t="shared" si="6"/>
        <v>246.29474999999996</v>
      </c>
      <c r="K45" s="49"/>
      <c r="L45" s="43"/>
      <c r="M45" s="43"/>
      <c r="N45" s="43"/>
      <c r="O45" s="2"/>
      <c r="P45" s="96" t="s">
        <v>23</v>
      </c>
      <c r="Q45" s="101">
        <f>((((($Q$47*$Q$48)/1000)*7)-$Q$40)/4)</f>
        <v>20.555</v>
      </c>
      <c r="R45" s="101">
        <f>((((($R$47*$R$48)/1000)*7)-$R$40)/4)</f>
        <v>13.951000000000002</v>
      </c>
      <c r="S45" s="101">
        <f>((((($S$47*$S$48)/1000)*7)-$S$40)/4)</f>
        <v>13.400000000000002</v>
      </c>
      <c r="T45" s="77">
        <f t="shared" si="7"/>
        <v>47.906000000000006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118.66400000000002</v>
      </c>
      <c r="C46" s="22">
        <f t="shared" si="8"/>
        <v>195.636</v>
      </c>
      <c r="D46" s="22">
        <f t="shared" si="8"/>
        <v>264.25</v>
      </c>
      <c r="E46" s="22">
        <f t="shared" si="8"/>
        <v>142.59</v>
      </c>
      <c r="F46" s="22">
        <f t="shared" si="8"/>
        <v>144.40300000000002</v>
      </c>
      <c r="G46" s="22">
        <f t="shared" si="8"/>
        <v>216.60100000000006</v>
      </c>
      <c r="H46" s="153">
        <f t="shared" si="8"/>
        <v>145.63499999999999</v>
      </c>
      <c r="I46" s="127">
        <f t="shared" si="6"/>
        <v>1227.779</v>
      </c>
      <c r="J46" s="45"/>
      <c r="K46" s="49"/>
      <c r="L46" s="49"/>
      <c r="M46" s="49"/>
      <c r="N46" s="49"/>
      <c r="P46" s="80" t="s">
        <v>9</v>
      </c>
      <c r="Q46" s="62">
        <f>SUM(Q39:Q45)</f>
        <v>99.82</v>
      </c>
      <c r="R46" s="22">
        <f>SUM(R39:R45)</f>
        <v>67.704000000000008</v>
      </c>
      <c r="S46" s="22">
        <f>SUM(S39:S45)</f>
        <v>65.100000000000009</v>
      </c>
      <c r="T46" s="77">
        <f t="shared" si="7"/>
        <v>232.62400000000002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52</v>
      </c>
      <c r="C47" s="24">
        <v>51</v>
      </c>
      <c r="D47" s="24">
        <v>50</v>
      </c>
      <c r="E47" s="24">
        <v>48.5</v>
      </c>
      <c r="F47" s="24">
        <v>49</v>
      </c>
      <c r="G47" s="24">
        <v>48.5</v>
      </c>
      <c r="H47" s="25">
        <v>47.5</v>
      </c>
      <c r="I47" s="128">
        <f>+((I46/I48)/7)*1000</f>
        <v>49.463338973491254</v>
      </c>
      <c r="J47" s="42"/>
      <c r="K47" s="50"/>
      <c r="L47" s="49"/>
      <c r="M47" s="49"/>
      <c r="N47" s="49"/>
      <c r="P47" s="93" t="s">
        <v>11</v>
      </c>
      <c r="Q47" s="63">
        <v>62</v>
      </c>
      <c r="R47" s="24">
        <v>62</v>
      </c>
      <c r="S47" s="24">
        <v>62</v>
      </c>
      <c r="T47" s="78">
        <f>+((T46/T48)/7)*1000</f>
        <v>62.000000000000007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326</v>
      </c>
      <c r="C48" s="27">
        <v>548</v>
      </c>
      <c r="D48" s="27">
        <v>755</v>
      </c>
      <c r="E48" s="27">
        <v>420</v>
      </c>
      <c r="F48" s="27">
        <v>421</v>
      </c>
      <c r="G48" s="27">
        <v>638</v>
      </c>
      <c r="H48" s="28">
        <v>438</v>
      </c>
      <c r="I48" s="129">
        <f>SUM(B48:H48)</f>
        <v>3546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150</v>
      </c>
      <c r="T48" s="82">
        <f>SUM(O48:S48)</f>
        <v>536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16.952000000000002</v>
      </c>
      <c r="C49" s="31">
        <f t="shared" si="9"/>
        <v>27.948</v>
      </c>
      <c r="D49" s="31">
        <f t="shared" si="9"/>
        <v>37.75</v>
      </c>
      <c r="E49" s="31">
        <f t="shared" si="9"/>
        <v>20.37</v>
      </c>
      <c r="F49" s="31">
        <f t="shared" si="9"/>
        <v>20.629000000000001</v>
      </c>
      <c r="G49" s="31">
        <f t="shared" si="9"/>
        <v>30.943000000000001</v>
      </c>
      <c r="H49" s="32">
        <f t="shared" si="9"/>
        <v>20.805</v>
      </c>
      <c r="I49" s="130">
        <f>((I46*1000)/I48)/7</f>
        <v>49.463338973491261</v>
      </c>
      <c r="J49" s="192"/>
      <c r="K49" s="192"/>
      <c r="L49" s="49"/>
      <c r="M49" s="49"/>
      <c r="N49" s="49"/>
      <c r="P49" s="72" t="s">
        <v>13</v>
      </c>
      <c r="Q49" s="65">
        <f>(Q48*Q47)/1000</f>
        <v>14.26</v>
      </c>
      <c r="R49" s="31">
        <f>(R48*R47)/1000</f>
        <v>9.6720000000000006</v>
      </c>
      <c r="S49" s="31">
        <f>(S48*S47)/1000</f>
        <v>9.3000000000000007</v>
      </c>
      <c r="T49" s="83">
        <f>((T46*1000)/T48)/7</f>
        <v>62.000000000000007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118.664</v>
      </c>
      <c r="C50" s="35">
        <f t="shared" si="10"/>
        <v>195.636</v>
      </c>
      <c r="D50" s="35">
        <f t="shared" si="10"/>
        <v>264.25</v>
      </c>
      <c r="E50" s="35">
        <f t="shared" si="10"/>
        <v>142.59</v>
      </c>
      <c r="F50" s="35">
        <f t="shared" si="10"/>
        <v>144.40299999999999</v>
      </c>
      <c r="G50" s="35">
        <f t="shared" si="10"/>
        <v>216.601</v>
      </c>
      <c r="H50" s="68">
        <f t="shared" si="10"/>
        <v>145.63499999999999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99.82</v>
      </c>
      <c r="R50" s="35">
        <f>((R48*R47)*7)/1000</f>
        <v>67.703999999999994</v>
      </c>
      <c r="S50" s="35">
        <f>((S48*S47)*7)/1000</f>
        <v>65.099999999999994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52.000000000000007</v>
      </c>
      <c r="C51" s="38">
        <f t="shared" si="11"/>
        <v>51</v>
      </c>
      <c r="D51" s="38">
        <f t="shared" si="11"/>
        <v>49.999999999999993</v>
      </c>
      <c r="E51" s="38">
        <f t="shared" si="11"/>
        <v>48.5</v>
      </c>
      <c r="F51" s="38">
        <f t="shared" si="11"/>
        <v>49</v>
      </c>
      <c r="G51" s="38">
        <f t="shared" si="11"/>
        <v>48.500000000000007</v>
      </c>
      <c r="H51" s="39">
        <f t="shared" si="11"/>
        <v>47.499999999999993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62</v>
      </c>
      <c r="R51" s="38">
        <f>+(R46/R48)/7*1000</f>
        <v>62.000000000000007</v>
      </c>
      <c r="S51" s="38">
        <f>+(S46/S48)/7*1000</f>
        <v>62.000000000000007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8"/>
      <c r="P54" s="1018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6" t="s">
        <v>17</v>
      </c>
      <c r="C55" s="1016"/>
      <c r="D55" s="1016"/>
      <c r="E55" s="1016"/>
      <c r="F55" s="1017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24.9</v>
      </c>
      <c r="C59" s="61">
        <v>29.7</v>
      </c>
      <c r="D59" s="61">
        <v>34.4</v>
      </c>
      <c r="E59" s="61">
        <v>26.7</v>
      </c>
      <c r="F59" s="61">
        <v>33.9</v>
      </c>
      <c r="G59" s="77">
        <f t="shared" si="12"/>
        <v>149.6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(((((B$66*B$67)/1000)*7)-$B$59)/4)</f>
        <v>28.454749999999997</v>
      </c>
      <c r="C60" s="61">
        <f>((((($C$66*$C$67)/1000)*7)-$C$59)/4)</f>
        <v>34.237250000000003</v>
      </c>
      <c r="D60" s="61">
        <f>(((((D$66*D$67)/1000)*7)-$D$59)/4)</f>
        <v>39.579249999999995</v>
      </c>
      <c r="E60" s="61">
        <f>((((($E$66*$E$67)/1000)*7)-$E$59)/4)</f>
        <v>30.681374999999999</v>
      </c>
      <c r="F60" s="61">
        <f>((((($F$66*$F$67)/1000)*7)-$F$59)/4)</f>
        <v>38.889625000000002</v>
      </c>
      <c r="G60" s="77">
        <f t="shared" si="12"/>
        <v>171.84224999999998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(((((B$66*B$67)/1000)*7)-$B$59)/4)</f>
        <v>28.454749999999997</v>
      </c>
      <c r="C61" s="61">
        <f>((((($C$66*$C$67)/1000)*7)-$C$59)/4)</f>
        <v>34.237250000000003</v>
      </c>
      <c r="D61" s="61">
        <f>(((((D$66*D$67)/1000)*7)-$D$59)/4)</f>
        <v>39.579249999999995</v>
      </c>
      <c r="E61" s="61">
        <f>((((($E$66*$E$67)/1000)*7)-$E$59)/4)</f>
        <v>30.681374999999999</v>
      </c>
      <c r="F61" s="61">
        <f>((((($F$66*$F$67)/1000)*7)-$F$59)/4)</f>
        <v>38.889625000000002</v>
      </c>
      <c r="G61" s="77">
        <f t="shared" si="12"/>
        <v>171.84224999999998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(((((B$66*B$67)/1000)*7)-$B$59)/4)</f>
        <v>28.454749999999997</v>
      </c>
      <c r="C63" s="61">
        <f>((((($C$66*$C$67)/1000)*7)-$C$59)/4)</f>
        <v>34.237250000000003</v>
      </c>
      <c r="D63" s="61">
        <f>(((((D$66*D$67)/1000)*7)-$D$59)/4)</f>
        <v>39.579249999999995</v>
      </c>
      <c r="E63" s="61">
        <f>((((($E$66*$E$67)/1000)*7)-$E$59)/4)</f>
        <v>30.681374999999999</v>
      </c>
      <c r="F63" s="61">
        <f>((((($F$66*$F$67)/1000)*7)-$F$59)/4)</f>
        <v>38.889625000000002</v>
      </c>
      <c r="G63" s="77">
        <f t="shared" si="12"/>
        <v>171.84224999999998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(((((B$66*B$67)/1000)*7)-$B$59)/4)</f>
        <v>28.454749999999997</v>
      </c>
      <c r="C64" s="61">
        <f>((((($C$66*$C$67)/1000)*7)-$C$59)/4)</f>
        <v>34.237250000000003</v>
      </c>
      <c r="D64" s="61">
        <f>(((((D$66*D$67)/1000)*7)-$D$59)/4)</f>
        <v>39.579249999999995</v>
      </c>
      <c r="E64" s="61">
        <f>((((($E$66*$E$67)/1000)*7)-$E$59)/4)</f>
        <v>30.681374999999999</v>
      </c>
      <c r="F64" s="61">
        <f>((((($F$66*$F$67)/1000)*7)-$F$59)/4)</f>
        <v>38.889625000000002</v>
      </c>
      <c r="G64" s="77">
        <f t="shared" si="12"/>
        <v>171.84224999999998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138.71899999999997</v>
      </c>
      <c r="C65" s="22">
        <f>SUM(C58:C64)</f>
        <v>166.649</v>
      </c>
      <c r="D65" s="22">
        <f>SUM(D58:D64)</f>
        <v>192.71699999999998</v>
      </c>
      <c r="E65" s="22">
        <f>SUM(E58:E64)</f>
        <v>149.4255</v>
      </c>
      <c r="F65" s="22">
        <f>SUM(F58:F64)</f>
        <v>189.45849999999999</v>
      </c>
      <c r="G65" s="77">
        <f t="shared" si="12"/>
        <v>836.96899999999982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66.5</v>
      </c>
      <c r="C66" s="24">
        <v>66.5</v>
      </c>
      <c r="D66" s="24">
        <v>66.5</v>
      </c>
      <c r="E66" s="24">
        <v>66.5</v>
      </c>
      <c r="F66" s="24">
        <v>66.5</v>
      </c>
      <c r="G66" s="78">
        <f>+((G65/G67)/7)*1000</f>
        <v>66.499999999999986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358</v>
      </c>
      <c r="D67" s="79">
        <v>414</v>
      </c>
      <c r="E67" s="79">
        <v>321</v>
      </c>
      <c r="F67" s="79">
        <v>407</v>
      </c>
      <c r="G67" s="82">
        <f>SUM(B67:F67)</f>
        <v>1798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19.817</v>
      </c>
      <c r="C68" s="31">
        <f>(C67*C66)/1000</f>
        <v>23.806999999999999</v>
      </c>
      <c r="D68" s="31">
        <f>(D67*D66)/1000</f>
        <v>27.530999999999999</v>
      </c>
      <c r="E68" s="31">
        <f>(E67*E66)/1000</f>
        <v>21.346499999999999</v>
      </c>
      <c r="F68" s="31">
        <f>(F67*F66)/1000</f>
        <v>27.0655</v>
      </c>
      <c r="G68" s="86">
        <f>((G65*1000)/G67)/7</f>
        <v>66.499999999999986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138.71899999999999</v>
      </c>
      <c r="C69" s="35">
        <f>((C67*C66)*7)/1000</f>
        <v>166.649</v>
      </c>
      <c r="D69" s="35">
        <f>((D67*D66)*7)/1000</f>
        <v>192.71700000000001</v>
      </c>
      <c r="E69" s="35">
        <f>((E67*E66)*7)/1000</f>
        <v>149.4255</v>
      </c>
      <c r="F69" s="35">
        <f>((F67*F66)*7)/1000</f>
        <v>189.45849999999999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66.499999999999972</v>
      </c>
      <c r="C70" s="38">
        <f>+(C65/C67)/7*1000</f>
        <v>66.5</v>
      </c>
      <c r="D70" s="38">
        <f>+(D65/D67)/7*1000</f>
        <v>66.499999999999986</v>
      </c>
      <c r="E70" s="38">
        <f>+(E65/E67)/7*1000</f>
        <v>66.5</v>
      </c>
      <c r="F70" s="38">
        <f>+(F65/F67)/7*1000</f>
        <v>66.499999999999986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T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/>
  <dimension ref="A1:AI239"/>
  <sheetViews>
    <sheetView topLeftCell="A30" zoomScale="30" zoomScaleNormal="30" workbookViewId="0">
      <selection activeCell="B45" sqref="B45:H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60</v>
      </c>
      <c r="Q11" s="1022"/>
      <c r="R11" s="6"/>
      <c r="S11" s="6"/>
      <c r="T11" s="1"/>
      <c r="U11" s="1"/>
      <c r="V11" s="1" t="s">
        <v>6</v>
      </c>
      <c r="W11" s="95">
        <v>45427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6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26"/>
      <c r="M15" s="174"/>
      <c r="N15" s="174"/>
      <c r="O15" s="1026" t="s">
        <v>8</v>
      </c>
      <c r="P15" s="1026"/>
      <c r="Q15" s="1026"/>
      <c r="R15" s="1026"/>
      <c r="S15" s="1026"/>
      <c r="T15" s="1026"/>
      <c r="U15" s="1026"/>
      <c r="V15" s="1026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37.799999999999997</v>
      </c>
      <c r="C19" s="19">
        <v>30.5</v>
      </c>
      <c r="D19" s="19">
        <v>30.5</v>
      </c>
      <c r="E19" s="19">
        <v>33.1</v>
      </c>
      <c r="F19" s="19">
        <v>33.200000000000003</v>
      </c>
      <c r="G19" s="19">
        <v>33.200000000000003</v>
      </c>
      <c r="H19" s="19">
        <v>35.6</v>
      </c>
      <c r="I19" s="19">
        <v>36.6</v>
      </c>
      <c r="J19" s="19">
        <v>29.7</v>
      </c>
      <c r="K19" s="19">
        <v>29.5</v>
      </c>
      <c r="L19" s="19">
        <v>40.9</v>
      </c>
      <c r="M19" s="19">
        <v>31.7</v>
      </c>
      <c r="N19" s="20">
        <v>13.5</v>
      </c>
      <c r="O19" s="61">
        <v>17.600000000000001</v>
      </c>
      <c r="P19" s="19">
        <v>50.4</v>
      </c>
      <c r="Q19" s="19">
        <v>36.4</v>
      </c>
      <c r="R19" s="19">
        <v>36.5</v>
      </c>
      <c r="S19" s="19">
        <v>52.3</v>
      </c>
      <c r="T19" s="19">
        <v>49.4</v>
      </c>
      <c r="U19" s="19">
        <v>39.4</v>
      </c>
      <c r="V19" s="19">
        <v>28.1</v>
      </c>
      <c r="W19" s="19">
        <v>26.3</v>
      </c>
      <c r="X19" s="20"/>
      <c r="Y19" s="98">
        <f t="shared" si="0"/>
        <v>752.19999999999982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39.261250000000004</v>
      </c>
      <c r="C20" s="19">
        <f>((((($C$26*$C$27)/1000)*7)-$C$19)/4)</f>
        <v>32.108750000000001</v>
      </c>
      <c r="D20" s="19">
        <f>((((($D$26*$D$27)/1000)*7)-$D$19)/4)</f>
        <v>32.025624999999998</v>
      </c>
      <c r="E20" s="19">
        <f>((((($E$26*$E$27)/1000)*7)-$E$19)/4)</f>
        <v>34.741750000000003</v>
      </c>
      <c r="F20" s="19">
        <f>((((($F$26*$F$27)/1000)*7)-$F$19)/4)</f>
        <v>34.503249999999994</v>
      </c>
      <c r="G20" s="19">
        <f>((((($G$26*$G$27)/1000)*7)-$G$19)/4)</f>
        <v>35.045749999999998</v>
      </c>
      <c r="H20" s="19">
        <f>((((($H$26*$H$27)/1000)*7)-$H$19)/4)</f>
        <v>37.362125000000006</v>
      </c>
      <c r="I20" s="19">
        <f>((((($I$26*$I$27)/1000)*7)-$I$19)/4)</f>
        <v>38.128875000000001</v>
      </c>
      <c r="J20" s="19">
        <f>((((($J$26*$J$27)/1000)*7)-$J$19)/4)</f>
        <v>31.390874999999998</v>
      </c>
      <c r="K20" s="19">
        <f>((((($K$26*$K$27)/1000)*7)-$K$19)/4)</f>
        <v>31.196750000000002</v>
      </c>
      <c r="L20" s="19">
        <f>((((($L$26*$L$27)/1000)*7)-$L$19)/4)</f>
        <v>43.403749999999995</v>
      </c>
      <c r="M20" s="19">
        <f>((((($M$26*$M$27)/1000)*7)-$M$19)/4)</f>
        <v>33.582374999999999</v>
      </c>
      <c r="N20" s="20">
        <f>((((($N$26*$N$27)/1000)*7)-$N$19)/4)</f>
        <v>14.258000000000003</v>
      </c>
      <c r="O20" s="61">
        <f>((((($O$26*$O$27)/1000)*7)-$O$19)/4)</f>
        <v>18.091000000000001</v>
      </c>
      <c r="P20" s="19">
        <f>((((($P$26*$P$27)/1000)*7)-$P$19)/4)</f>
        <v>52.797499999999992</v>
      </c>
      <c r="Q20" s="19">
        <f>((((($Q$26*$Q$27)/1000)*7)-$Q$19)/4)</f>
        <v>38.43</v>
      </c>
      <c r="R20" s="19">
        <f>((((($R$26*$R$27)/1000)*7-$R$19)/4))</f>
        <v>38.489874999999998</v>
      </c>
      <c r="S20" s="19">
        <f>((((($S$26*$S$27)/1000)*7)-$S$19)/4)</f>
        <v>55.048999999999992</v>
      </c>
      <c r="T20" s="19">
        <f>((((($T$26*$T$27)/1000)*7)-$T$19)/4)</f>
        <v>52.133999999999993</v>
      </c>
      <c r="U20" s="19">
        <f>((((($U$26*$U$27)/1000)*7)-$U$19)/4)</f>
        <v>41.579000000000001</v>
      </c>
      <c r="V20" s="19">
        <f>((((($V$26*$V$27)/1000)*7)-$V$19)/4)</f>
        <v>29.682124999999999</v>
      </c>
      <c r="W20" s="19">
        <f>((((($W$26*$W$27)/1000)*7)-$W$19)/4)</f>
        <v>27.845749999999999</v>
      </c>
      <c r="X20" s="20"/>
      <c r="Y20" s="98">
        <f t="shared" si="0"/>
        <v>791.10737499999993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39.261250000000004</v>
      </c>
      <c r="C21" s="19">
        <f>((((($C$26*$C$27)/1000)*7)-$C$19)/4)</f>
        <v>32.108750000000001</v>
      </c>
      <c r="D21" s="19">
        <f>((((($D$26*$D$27)/1000)*7)-$D$19)/4)</f>
        <v>32.025624999999998</v>
      </c>
      <c r="E21" s="19">
        <f>((((($E$26*$E$27)/1000)*7)-$E$19)/4)</f>
        <v>34.741750000000003</v>
      </c>
      <c r="F21" s="19">
        <f>((((($F$26*$F$27)/1000)*7)-$F$19)/4)</f>
        <v>34.503249999999994</v>
      </c>
      <c r="G21" s="19">
        <f>((((($G$26*$G$27)/1000)*7)-$G$19)/4)</f>
        <v>35.045749999999998</v>
      </c>
      <c r="H21" s="19">
        <f>((((($H$26*$H$27)/1000)*7)-$H$19)/4)</f>
        <v>37.362125000000006</v>
      </c>
      <c r="I21" s="19">
        <f>((((($I$26*$I$27)/1000)*7)-$I$19)/4)</f>
        <v>38.128875000000001</v>
      </c>
      <c r="J21" s="19">
        <f>((((($J$26*$J$27)/1000)*7)-$J$19)/4)</f>
        <v>31.390874999999998</v>
      </c>
      <c r="K21" s="19">
        <f>((((($K$26*$K$27)/1000)*7)-$K$19)/4)</f>
        <v>31.196750000000002</v>
      </c>
      <c r="L21" s="19">
        <f>((((($L$26*$L$27)/1000)*7)-$L$19)/4)</f>
        <v>43.403749999999995</v>
      </c>
      <c r="M21" s="19">
        <f>((((($M$26*$M$27)/1000)*7)-$M$19)/4)</f>
        <v>33.582374999999999</v>
      </c>
      <c r="N21" s="20">
        <f>((((($N$26*$N$27)/1000)*7)-$N$19)/4)</f>
        <v>14.258000000000003</v>
      </c>
      <c r="O21" s="61">
        <f>((((($O$26*$O$27)/1000)*7)-$O$19)/4)</f>
        <v>18.091000000000001</v>
      </c>
      <c r="P21" s="19">
        <f>((((($P$26*$P$27)/1000)*7)-$P$19)/4)</f>
        <v>52.797499999999992</v>
      </c>
      <c r="Q21" s="19">
        <f>((((($Q$26*$Q$27)/1000)*7)-$Q$19)/4)</f>
        <v>38.43</v>
      </c>
      <c r="R21" s="19">
        <f>((((($R$26*$R$27)/1000)*7-$R$19)/4))</f>
        <v>38.489874999999998</v>
      </c>
      <c r="S21" s="19">
        <f>((((($S$26*$S$27)/1000)*7)-$S$19)/4)</f>
        <v>55.048999999999992</v>
      </c>
      <c r="T21" s="19">
        <f>((((($T$26*$T$27)/1000)*7)-$T$19)/4)</f>
        <v>52.133999999999993</v>
      </c>
      <c r="U21" s="19">
        <f>((((($U$26*$U$27)/1000)*7)-$U$19)/4)</f>
        <v>41.579000000000001</v>
      </c>
      <c r="V21" s="19">
        <f>((((($V$26*$V$27)/1000)*7)-$V$19)/4)</f>
        <v>29.682124999999999</v>
      </c>
      <c r="W21" s="19">
        <f>((((($W$26*$W$27)/1000)*7)-$W$19)/4)</f>
        <v>27.845749999999999</v>
      </c>
      <c r="X21" s="20"/>
      <c r="Y21" s="98">
        <f t="shared" si="0"/>
        <v>791.10737499999993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39.261250000000004</v>
      </c>
      <c r="C23" s="19">
        <f>((((($C$26*$C$27)/1000)*7)-$C$19)/4)</f>
        <v>32.108750000000001</v>
      </c>
      <c r="D23" s="19">
        <f>((((($D$26*$D$27)/1000)*7)-$D$19)/4)</f>
        <v>32.025624999999998</v>
      </c>
      <c r="E23" s="19">
        <f>((((($E$26*$E$27)/1000)*7)-$E$19)/4)</f>
        <v>34.741750000000003</v>
      </c>
      <c r="F23" s="19">
        <f>((((($F$26*$F$27)/1000)*7)-$F$19)/4)</f>
        <v>34.503249999999994</v>
      </c>
      <c r="G23" s="19">
        <f>((((($G$26*$G$27)/1000)*7)-$G$19)/4)</f>
        <v>35.045749999999998</v>
      </c>
      <c r="H23" s="19">
        <f>((((($H$26*$H$27)/1000)*7)-$H$19)/4)</f>
        <v>37.362125000000006</v>
      </c>
      <c r="I23" s="19">
        <f>((((($I$26*$I$27)/1000)*7)-$I$19)/4)</f>
        <v>38.128875000000001</v>
      </c>
      <c r="J23" s="19">
        <f>((((($J$26*$J$27)/1000)*7)-$J$19)/4)</f>
        <v>31.390874999999998</v>
      </c>
      <c r="K23" s="19">
        <f>((((($K$26*$K$27)/1000)*7)-$K$19)/4)</f>
        <v>31.196750000000002</v>
      </c>
      <c r="L23" s="19">
        <f>((((($L$26*$L$27)/1000)*7)-$L$19)/4)</f>
        <v>43.403749999999995</v>
      </c>
      <c r="M23" s="19">
        <f>((((($M$26*$M$27)/1000)*7)-$M$19)/4)</f>
        <v>33.582374999999999</v>
      </c>
      <c r="N23" s="20">
        <f>((((($N$26*$N$27)/1000)*7)-$N$19)/4)</f>
        <v>14.258000000000003</v>
      </c>
      <c r="O23" s="61">
        <f>((((($O$26*$O$27)/1000)*7)-$O$19)/4)</f>
        <v>18.091000000000001</v>
      </c>
      <c r="P23" s="19">
        <f>((((($P$26*$P$27)/1000)*7)-$P$19)/4)</f>
        <v>52.797499999999992</v>
      </c>
      <c r="Q23" s="19">
        <f>((((($Q$26*$Q$27)/1000)*7)-$Q$19)/4)</f>
        <v>38.43</v>
      </c>
      <c r="R23" s="19">
        <f>((((($R$26*$R$27)/1000)*7-$R$19)/4))</f>
        <v>38.489874999999998</v>
      </c>
      <c r="S23" s="19">
        <f>((((($S$26*$S$27)/1000)*7)-$S$19)/4)</f>
        <v>55.048999999999992</v>
      </c>
      <c r="T23" s="19">
        <f>((((($T$26*$T$27)/1000)*7)-$T$19)/4)</f>
        <v>52.133999999999993</v>
      </c>
      <c r="U23" s="19">
        <f>((((($U$26*$U$27)/1000)*7)-$U$19)/4)</f>
        <v>41.579000000000001</v>
      </c>
      <c r="V23" s="19">
        <f>((((($V$26*$V$27)/1000)*7)-$V$19)/4)</f>
        <v>29.682124999999999</v>
      </c>
      <c r="W23" s="19">
        <f>((((($W$26*$W$27)/1000)*7)-$W$19)/4)</f>
        <v>27.845749999999999</v>
      </c>
      <c r="X23" s="20"/>
      <c r="Y23" s="98">
        <f t="shared" si="0"/>
        <v>791.10737499999993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39.261250000000004</v>
      </c>
      <c r="C24" s="19">
        <f>((((($C$26*$C$27)/1000)*7)-$C$19)/4)</f>
        <v>32.108750000000001</v>
      </c>
      <c r="D24" s="19">
        <f>((((($D$26*$D$27)/1000)*7)-$D$19)/4)</f>
        <v>32.025624999999998</v>
      </c>
      <c r="E24" s="19">
        <f>((((($E$26*$E$27)/1000)*7)-$E$19)/4)</f>
        <v>34.741750000000003</v>
      </c>
      <c r="F24" s="19">
        <f>((((($F$26*$F$27)/1000)*7)-$F$19)/4)</f>
        <v>34.503249999999994</v>
      </c>
      <c r="G24" s="19">
        <f>((((($G$26*$G$27)/1000)*7)-$G$19)/4)</f>
        <v>35.045749999999998</v>
      </c>
      <c r="H24" s="19">
        <f>((((($H$26*$H$27)/1000)*7)-$H$19)/4)</f>
        <v>37.362125000000006</v>
      </c>
      <c r="I24" s="19">
        <f>((((($I$26*$I$27)/1000)*7)-$I$19)/4)</f>
        <v>38.128875000000001</v>
      </c>
      <c r="J24" s="19">
        <f>((((($J$26*$J$27)/1000)*7)-$J$19)/4)</f>
        <v>31.390874999999998</v>
      </c>
      <c r="K24" s="19">
        <f>((((($K$26*$K$27)/1000)*7)-$K$19)/4)</f>
        <v>31.196750000000002</v>
      </c>
      <c r="L24" s="19">
        <f>((((($L$26*$L$27)/1000)*7)-$L$19)/4)</f>
        <v>43.403749999999995</v>
      </c>
      <c r="M24" s="19">
        <f>((((($M$26*$M$27)/1000)*7)-$M$19)/4)</f>
        <v>33.582374999999999</v>
      </c>
      <c r="N24" s="20">
        <f>((((($N$26*$N$27)/1000)*7)-$N$19)/4)</f>
        <v>14.258000000000003</v>
      </c>
      <c r="O24" s="61">
        <f>((((($O$26*$O$27)/1000)*7)-$O$19)/4)</f>
        <v>18.091000000000001</v>
      </c>
      <c r="P24" s="19">
        <f>((((($P$26*$P$27)/1000)*7)-$P$19)/4)</f>
        <v>52.797499999999992</v>
      </c>
      <c r="Q24" s="19">
        <f>((((($Q$26*$Q$27)/1000)*7)-$Q$19)/4)</f>
        <v>38.43</v>
      </c>
      <c r="R24" s="19">
        <f>((((($R$26*$R$27)/1000)*7-$R$19)/4))</f>
        <v>38.489874999999998</v>
      </c>
      <c r="S24" s="19">
        <f>((((($S$26*$S$27)/1000)*7)-$S$19)/4)</f>
        <v>55.048999999999992</v>
      </c>
      <c r="T24" s="19">
        <f>((((($T$26*$T$27)/1000)*7)-$T$19)/4)</f>
        <v>52.133999999999993</v>
      </c>
      <c r="U24" s="19">
        <f>((((($U$26*$U$27)/1000)*7)-$U$19)/4)</f>
        <v>41.579000000000001</v>
      </c>
      <c r="V24" s="19">
        <f>((((($V$26*$V$27)/1000)*7)-$V$19)/4)</f>
        <v>29.682124999999999</v>
      </c>
      <c r="W24" s="19">
        <f>((((($W$26*$W$27)/1000)*7)-$W$19)/4)</f>
        <v>27.845749999999999</v>
      </c>
      <c r="X24" s="20"/>
      <c r="Y24" s="98">
        <f t="shared" si="0"/>
        <v>791.10737499999993</v>
      </c>
      <c r="AA24" s="2"/>
    </row>
    <row r="25" spans="1:35" ht="41.45" customHeight="1" x14ac:dyDescent="0.25">
      <c r="A25" s="182" t="s">
        <v>9</v>
      </c>
      <c r="B25" s="21">
        <f>SUM(B18:B24)</f>
        <v>194.84500000000003</v>
      </c>
      <c r="C25" s="22">
        <f>SUM(C18:C24)</f>
        <v>158.935</v>
      </c>
      <c r="D25" s="22">
        <f>SUM(D18:D24)</f>
        <v>158.60249999999999</v>
      </c>
      <c r="E25" s="22">
        <f>SUM(E18:E24)</f>
        <v>172.06700000000001</v>
      </c>
      <c r="F25" s="22">
        <f>SUM(F18:F24)</f>
        <v>171.21299999999997</v>
      </c>
      <c r="G25" s="22">
        <f t="shared" ref="G25:W25" si="1">SUM(G18:G24)</f>
        <v>173.38299999999998</v>
      </c>
      <c r="H25" s="22">
        <f t="shared" si="1"/>
        <v>185.04850000000005</v>
      </c>
      <c r="I25" s="22">
        <f t="shared" si="1"/>
        <v>189.1155</v>
      </c>
      <c r="J25" s="22">
        <f>SUM(J18:J24)</f>
        <v>155.26349999999999</v>
      </c>
      <c r="K25" s="22">
        <f t="shared" si="1"/>
        <v>154.28700000000001</v>
      </c>
      <c r="L25" s="22">
        <f t="shared" si="1"/>
        <v>214.51499999999999</v>
      </c>
      <c r="M25" s="22">
        <f t="shared" si="1"/>
        <v>166.02949999999998</v>
      </c>
      <c r="N25" s="153">
        <f t="shared" si="1"/>
        <v>70.532000000000011</v>
      </c>
      <c r="O25" s="62">
        <f t="shared" si="1"/>
        <v>89.963999999999999</v>
      </c>
      <c r="P25" s="22">
        <f t="shared" si="1"/>
        <v>261.58999999999997</v>
      </c>
      <c r="Q25" s="22">
        <f t="shared" si="1"/>
        <v>190.12</v>
      </c>
      <c r="R25" s="22">
        <f t="shared" si="1"/>
        <v>190.45949999999999</v>
      </c>
      <c r="S25" s="19">
        <f>SUM(S18:S24)</f>
        <v>272.49599999999992</v>
      </c>
      <c r="T25" s="199">
        <f>SUM(T18:T24)</f>
        <v>257.93599999999998</v>
      </c>
      <c r="U25" s="199">
        <f>SUM(U18:U24)</f>
        <v>205.71600000000001</v>
      </c>
      <c r="V25" s="199">
        <f>SUM(V18:V24)</f>
        <v>146.82849999999999</v>
      </c>
      <c r="W25" s="199">
        <f t="shared" si="1"/>
        <v>137.68299999999999</v>
      </c>
      <c r="X25" s="20"/>
      <c r="Y25" s="98">
        <f>SUM(Y18:Y24)</f>
        <v>3916.6295</v>
      </c>
    </row>
    <row r="26" spans="1:35" s="2" customFormat="1" ht="36.75" customHeight="1" x14ac:dyDescent="0.25">
      <c r="A26" s="148" t="s">
        <v>11</v>
      </c>
      <c r="B26" s="23">
        <v>47.5</v>
      </c>
      <c r="C26" s="24">
        <v>47.5</v>
      </c>
      <c r="D26" s="24">
        <v>47.5</v>
      </c>
      <c r="E26" s="24">
        <v>47</v>
      </c>
      <c r="F26" s="24">
        <v>46.5</v>
      </c>
      <c r="G26" s="24">
        <v>47</v>
      </c>
      <c r="H26" s="24">
        <v>45.5</v>
      </c>
      <c r="I26" s="24">
        <v>46.5</v>
      </c>
      <c r="J26" s="24">
        <v>46.5</v>
      </c>
      <c r="K26" s="24">
        <v>46.5</v>
      </c>
      <c r="L26" s="24">
        <v>45</v>
      </c>
      <c r="M26" s="24">
        <v>44.5</v>
      </c>
      <c r="N26" s="25">
        <v>44</v>
      </c>
      <c r="O26" s="63">
        <v>51</v>
      </c>
      <c r="P26" s="24">
        <v>50.5</v>
      </c>
      <c r="Q26" s="24">
        <v>48.5</v>
      </c>
      <c r="R26" s="24">
        <v>48.5</v>
      </c>
      <c r="S26" s="24">
        <v>48</v>
      </c>
      <c r="T26" s="24">
        <v>47</v>
      </c>
      <c r="U26" s="24">
        <v>46.5</v>
      </c>
      <c r="V26" s="24">
        <v>45.5</v>
      </c>
      <c r="W26" s="24">
        <v>44.5</v>
      </c>
      <c r="X26" s="25"/>
      <c r="Y26" s="99">
        <f>((Y25/Y27)/7)*1000</f>
        <v>46.955228264518297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11916</v>
      </c>
    </row>
    <row r="28" spans="1:35" s="2" customFormat="1" ht="33" customHeight="1" x14ac:dyDescent="0.25">
      <c r="A28" s="150" t="s">
        <v>13</v>
      </c>
      <c r="B28" s="30">
        <f>(B27*B26)/1000</f>
        <v>27.835000000000001</v>
      </c>
      <c r="C28" s="31">
        <f>(C27*C26)/1000</f>
        <v>22.704999999999998</v>
      </c>
      <c r="D28" s="31">
        <f>(D27*D26)/1000</f>
        <v>22.657499999999999</v>
      </c>
      <c r="E28" s="31">
        <f>(E27*E26)/1000</f>
        <v>24.581</v>
      </c>
      <c r="F28" s="31">
        <f>(F27*F26)/1000</f>
        <v>24.459</v>
      </c>
      <c r="G28" s="31">
        <f t="shared" ref="G28:W28" si="2">(G27*G26)/1000</f>
        <v>24.768999999999998</v>
      </c>
      <c r="H28" s="31">
        <f t="shared" si="2"/>
        <v>26.435500000000001</v>
      </c>
      <c r="I28" s="31">
        <f t="shared" si="2"/>
        <v>27.016500000000001</v>
      </c>
      <c r="J28" s="31">
        <f t="shared" si="2"/>
        <v>22.180499999999999</v>
      </c>
      <c r="K28" s="31">
        <f t="shared" si="2"/>
        <v>22.041</v>
      </c>
      <c r="L28" s="31">
        <f t="shared" si="2"/>
        <v>30.645</v>
      </c>
      <c r="M28" s="31">
        <f t="shared" si="2"/>
        <v>23.718499999999999</v>
      </c>
      <c r="N28" s="32">
        <f t="shared" si="2"/>
        <v>10.076000000000001</v>
      </c>
      <c r="O28" s="65">
        <f t="shared" si="2"/>
        <v>12.852</v>
      </c>
      <c r="P28" s="31">
        <f t="shared" si="2"/>
        <v>37.369999999999997</v>
      </c>
      <c r="Q28" s="31">
        <f t="shared" si="2"/>
        <v>27.16</v>
      </c>
      <c r="R28" s="31">
        <f t="shared" si="2"/>
        <v>27.208500000000001</v>
      </c>
      <c r="S28" s="31">
        <f t="shared" si="2"/>
        <v>38.927999999999997</v>
      </c>
      <c r="T28" s="31">
        <f t="shared" si="2"/>
        <v>36.847999999999999</v>
      </c>
      <c r="U28" s="31">
        <f t="shared" si="2"/>
        <v>29.388000000000002</v>
      </c>
      <c r="V28" s="31">
        <f t="shared" si="2"/>
        <v>20.9755</v>
      </c>
      <c r="W28" s="31">
        <f t="shared" si="2"/>
        <v>19.669</v>
      </c>
      <c r="X28" s="32"/>
      <c r="Y28" s="33">
        <f>((Y25*1000)/7)/Y27</f>
        <v>46.955228264518297</v>
      </c>
    </row>
    <row r="29" spans="1:35" ht="33.75" customHeight="1" x14ac:dyDescent="0.25">
      <c r="A29" s="151" t="s">
        <v>14</v>
      </c>
      <c r="B29" s="34">
        <f>((B27*B26)*7)/1000</f>
        <v>194.845</v>
      </c>
      <c r="C29" s="35">
        <f t="shared" ref="C29:N29" si="3">((C27*C26)*6)/1000</f>
        <v>136.22999999999999</v>
      </c>
      <c r="D29" s="35">
        <f t="shared" si="3"/>
        <v>135.94499999999999</v>
      </c>
      <c r="E29" s="35">
        <f t="shared" si="3"/>
        <v>147.48599999999999</v>
      </c>
      <c r="F29" s="35">
        <f t="shared" si="3"/>
        <v>146.75399999999999</v>
      </c>
      <c r="G29" s="35">
        <f t="shared" si="3"/>
        <v>148.614</v>
      </c>
      <c r="H29" s="35">
        <f t="shared" si="3"/>
        <v>158.613</v>
      </c>
      <c r="I29" s="35">
        <f t="shared" si="3"/>
        <v>162.09899999999999</v>
      </c>
      <c r="J29" s="35">
        <f t="shared" si="3"/>
        <v>133.083</v>
      </c>
      <c r="K29" s="35">
        <f t="shared" si="3"/>
        <v>132.24600000000001</v>
      </c>
      <c r="L29" s="35">
        <f t="shared" si="3"/>
        <v>183.87</v>
      </c>
      <c r="M29" s="35">
        <f t="shared" si="3"/>
        <v>142.31100000000001</v>
      </c>
      <c r="N29" s="68">
        <f t="shared" si="3"/>
        <v>60.456000000000003</v>
      </c>
      <c r="O29" s="66">
        <f t="shared" ref="O29:W29" si="4">((O27*O26)*4)/1000</f>
        <v>51.408000000000001</v>
      </c>
      <c r="P29" s="35">
        <f t="shared" si="4"/>
        <v>149.47999999999999</v>
      </c>
      <c r="Q29" s="35">
        <f t="shared" si="4"/>
        <v>108.64</v>
      </c>
      <c r="R29" s="35">
        <f t="shared" si="4"/>
        <v>108.834</v>
      </c>
      <c r="S29" s="35">
        <f t="shared" si="4"/>
        <v>155.71199999999999</v>
      </c>
      <c r="T29" s="35">
        <f t="shared" si="4"/>
        <v>147.392</v>
      </c>
      <c r="U29" s="35">
        <f t="shared" si="4"/>
        <v>117.55200000000001</v>
      </c>
      <c r="V29" s="35">
        <f t="shared" si="4"/>
        <v>83.902000000000001</v>
      </c>
      <c r="W29" s="35">
        <f t="shared" si="4"/>
        <v>78.676000000000002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47.500000000000007</v>
      </c>
      <c r="C30" s="38">
        <f t="shared" si="5"/>
        <v>47.5</v>
      </c>
      <c r="D30" s="38">
        <f t="shared" si="5"/>
        <v>47.499999999999993</v>
      </c>
      <c r="E30" s="38">
        <f t="shared" si="5"/>
        <v>47</v>
      </c>
      <c r="F30" s="38">
        <f t="shared" si="5"/>
        <v>46.499999999999993</v>
      </c>
      <c r="G30" s="38">
        <f t="shared" si="5"/>
        <v>46.999999999999993</v>
      </c>
      <c r="H30" s="38">
        <f t="shared" si="5"/>
        <v>45.500000000000007</v>
      </c>
      <c r="I30" s="38">
        <f t="shared" si="5"/>
        <v>46.5</v>
      </c>
      <c r="J30" s="38">
        <f t="shared" si="5"/>
        <v>46.5</v>
      </c>
      <c r="K30" s="38">
        <f t="shared" si="5"/>
        <v>46.5</v>
      </c>
      <c r="L30" s="38">
        <f t="shared" si="5"/>
        <v>45</v>
      </c>
      <c r="M30" s="38">
        <f t="shared" si="5"/>
        <v>44.499999999999993</v>
      </c>
      <c r="N30" s="39">
        <f t="shared" si="5"/>
        <v>44.000000000000007</v>
      </c>
      <c r="O30" s="67">
        <f t="shared" si="5"/>
        <v>51</v>
      </c>
      <c r="P30" s="38">
        <f t="shared" si="5"/>
        <v>50.499999999999993</v>
      </c>
      <c r="Q30" s="38">
        <f t="shared" si="5"/>
        <v>48.5</v>
      </c>
      <c r="R30" s="38">
        <f t="shared" si="5"/>
        <v>48.499999999999993</v>
      </c>
      <c r="S30" s="38">
        <f t="shared" si="5"/>
        <v>47.999999999999986</v>
      </c>
      <c r="T30" s="38">
        <f t="shared" si="5"/>
        <v>46.999999999999993</v>
      </c>
      <c r="U30" s="38">
        <f t="shared" si="5"/>
        <v>46.5</v>
      </c>
      <c r="V30" s="38">
        <f t="shared" si="5"/>
        <v>45.5</v>
      </c>
      <c r="W30" s="38">
        <f t="shared" si="5"/>
        <v>44.5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31" t="s">
        <v>8</v>
      </c>
      <c r="C36" s="1032"/>
      <c r="D36" s="1032"/>
      <c r="E36" s="1032"/>
      <c r="F36" s="1032"/>
      <c r="G36" s="1032"/>
      <c r="H36" s="1033"/>
      <c r="I36" s="177"/>
      <c r="O36" s="44"/>
      <c r="P36" s="88" t="s">
        <v>18</v>
      </c>
      <c r="Q36" s="1031" t="s">
        <v>8</v>
      </c>
      <c r="R36" s="1032"/>
      <c r="S36" s="1032"/>
      <c r="T36" s="1033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34"/>
      <c r="M37" s="1034"/>
      <c r="N37" s="1034"/>
      <c r="O37" s="1034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23.765999999999998</v>
      </c>
      <c r="C40" s="19">
        <v>39.308999999999997</v>
      </c>
      <c r="D40" s="19">
        <v>53.012500000000003</v>
      </c>
      <c r="E40" s="19">
        <v>28.547499999999999</v>
      </c>
      <c r="F40" s="19">
        <v>28.950750000000006</v>
      </c>
      <c r="G40" s="19">
        <v>43.475250000000003</v>
      </c>
      <c r="H40" s="20">
        <v>29.233749999999997</v>
      </c>
      <c r="I40" s="127">
        <f t="shared" si="6"/>
        <v>246.29474999999996</v>
      </c>
      <c r="J40" s="49"/>
      <c r="K40" s="49"/>
      <c r="L40" s="43"/>
      <c r="M40" s="43"/>
      <c r="N40" s="43"/>
      <c r="O40" s="2"/>
      <c r="P40" s="96" t="s">
        <v>24</v>
      </c>
      <c r="Q40" s="205">
        <v>20.6</v>
      </c>
      <c r="R40" s="101">
        <v>14</v>
      </c>
      <c r="S40" s="206">
        <v>13.4</v>
      </c>
      <c r="T40" s="127">
        <f t="shared" si="7"/>
        <v>48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24.96</v>
      </c>
      <c r="C41" s="19">
        <f>((((($C$47*$C$48)/1000)*7)-$C$40)/4)</f>
        <v>41.47925</v>
      </c>
      <c r="D41" s="19">
        <f>((((($D$47*$D$48)/1000)*7)-$D$40)/4)</f>
        <v>56.02062500000001</v>
      </c>
      <c r="E41" s="19">
        <f>((((($E$47*$E$48)/1000)*7)-$E$40)/4)</f>
        <v>30.625499999999999</v>
      </c>
      <c r="F41" s="19">
        <f>((((($F$47*$F$48)/1000)*7)-$F$40)/4)</f>
        <v>31.0733125</v>
      </c>
      <c r="G41" s="19">
        <f>((((($G$47*$G$48)/1000)*7)-$G$40)/4)</f>
        <v>46.630937500000002</v>
      </c>
      <c r="H41" s="20">
        <f>((((($H$47*$H$48)/1000)*7)-$H$40)/4)</f>
        <v>31.399812499999999</v>
      </c>
      <c r="I41" s="127">
        <f t="shared" si="6"/>
        <v>262.1894375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20.408749999999998</v>
      </c>
      <c r="R41" s="101">
        <f>((((($R$47*$R$48)/1000)*7)-$R$40)/4)</f>
        <v>13.8355</v>
      </c>
      <c r="S41" s="206">
        <f>((((($S$47*$S$48)/1000)*7)-$S$40)/4)</f>
        <v>13.096500000000001</v>
      </c>
      <c r="T41" s="127">
        <f t="shared" si="7"/>
        <v>47.340749999999993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24.96</v>
      </c>
      <c r="C42" s="19">
        <f>((((($C$47*$C$48)/1000)*7)-$C$40)/4)</f>
        <v>41.47925</v>
      </c>
      <c r="D42" s="19">
        <f>((((($D$47*$D$48)/1000)*7)-$D$40)/4)</f>
        <v>56.02062500000001</v>
      </c>
      <c r="E42" s="19">
        <f>((((($E$47*$E$48)/1000)*7)-$E$40)/4)</f>
        <v>30.625499999999999</v>
      </c>
      <c r="F42" s="19">
        <f>((((($F$47*$F$48)/1000)*7)-$F$40)/4)</f>
        <v>31.0733125</v>
      </c>
      <c r="G42" s="19">
        <f>((((($G$47*$G$48)/1000)*7)-$G$40)/4)</f>
        <v>46.630937500000002</v>
      </c>
      <c r="H42" s="20">
        <f>((((($H$47*$H$48)/1000)*7)-$H$40)/4)</f>
        <v>31.399812499999999</v>
      </c>
      <c r="I42" s="127">
        <f t="shared" si="6"/>
        <v>262.1894375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20.408749999999998</v>
      </c>
      <c r="R42" s="101">
        <f>((((($R$47*$R$48)/1000)*7)-$R$40)/4)</f>
        <v>13.8355</v>
      </c>
      <c r="S42" s="206">
        <f>((((($S$47*$S$48)/1000)*7)-$S$40)/4)</f>
        <v>13.096500000000001</v>
      </c>
      <c r="T42" s="127">
        <f t="shared" si="7"/>
        <v>47.340749999999993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24.96</v>
      </c>
      <c r="C44" s="19">
        <f>((((($C$47*$C$48)/1000)*7)-$C$40)/4)</f>
        <v>41.47925</v>
      </c>
      <c r="D44" s="19">
        <f>((((($D$47*$D$48)/1000)*7)-$D$40)/4)</f>
        <v>56.02062500000001</v>
      </c>
      <c r="E44" s="19">
        <f>((((($E$47*$E$48)/1000)*7)-$E$40)/4)</f>
        <v>30.625499999999999</v>
      </c>
      <c r="F44" s="19">
        <f>((((($F$47*$F$48)/1000)*7)-$F$40)/4)</f>
        <v>31.0733125</v>
      </c>
      <c r="G44" s="19">
        <v>46.6</v>
      </c>
      <c r="H44" s="20">
        <f>((((($H$47*$H$48)/1000)*7)-$H$40)/4)</f>
        <v>31.399812499999999</v>
      </c>
      <c r="I44" s="127">
        <f t="shared" si="6"/>
        <v>262.1585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20.408749999999998</v>
      </c>
      <c r="R44" s="101">
        <f>((((($R$47*$R$48)/1000)*7)-$R$40)/4)</f>
        <v>13.8355</v>
      </c>
      <c r="S44" s="206">
        <f>((((($S$47*$S$48)/1000)*7)-$S$40)/4)</f>
        <v>13.096500000000001</v>
      </c>
      <c r="T44" s="127">
        <f t="shared" si="7"/>
        <v>47.340749999999993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24.96</v>
      </c>
      <c r="C45" s="19">
        <f>((((($C$47*$C$48)/1000)*7)-$C$40)/4)</f>
        <v>41.47925</v>
      </c>
      <c r="D45" s="19">
        <f>((((($D$47*$D$48)/1000)*7)-$D$40)/4)</f>
        <v>56.02062500000001</v>
      </c>
      <c r="E45" s="19">
        <f>((((($E$47*$E$48)/1000)*7)-$E$40)/4)</f>
        <v>30.625499999999999</v>
      </c>
      <c r="F45" s="19">
        <f>((((($F$47*$F$48)/1000)*7)-$F$40)/4)</f>
        <v>31.0733125</v>
      </c>
      <c r="G45" s="19">
        <v>46.6</v>
      </c>
      <c r="H45" s="20">
        <f>((((($H$47*$H$48)/1000)*7)-$H$40)/4)</f>
        <v>31.399812499999999</v>
      </c>
      <c r="I45" s="127">
        <f t="shared" si="6"/>
        <v>262.1585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20.408749999999998</v>
      </c>
      <c r="R45" s="208">
        <f>((((($R$47*$R$48)/1000)*7)-$R$40)/4)</f>
        <v>13.8355</v>
      </c>
      <c r="S45" s="209">
        <f>((((($S$47*$S$48)/1000)*7)-$S$40)/4)</f>
        <v>13.096500000000001</v>
      </c>
      <c r="T45" s="127">
        <f t="shared" si="7"/>
        <v>47.340749999999993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123.60600000000002</v>
      </c>
      <c r="C46" s="22">
        <f t="shared" si="8"/>
        <v>205.22600000000003</v>
      </c>
      <c r="D46" s="22">
        <f t="shared" si="8"/>
        <v>277.09500000000003</v>
      </c>
      <c r="E46" s="22">
        <f t="shared" si="8"/>
        <v>151.04949999999999</v>
      </c>
      <c r="F46" s="22">
        <f t="shared" si="8"/>
        <v>153.244</v>
      </c>
      <c r="G46" s="22">
        <f t="shared" si="8"/>
        <v>229.93712499999998</v>
      </c>
      <c r="H46" s="153">
        <f t="shared" si="8"/>
        <v>154.833</v>
      </c>
      <c r="I46" s="127">
        <f t="shared" si="6"/>
        <v>1294.9906250000001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102.23499999999999</v>
      </c>
      <c r="R46" s="201">
        <f>SUM(R39:R45)</f>
        <v>69.341999999999999</v>
      </c>
      <c r="S46" s="201">
        <f>SUM(S39:S45)</f>
        <v>65.786000000000001</v>
      </c>
      <c r="T46" s="77">
        <f t="shared" si="7"/>
        <v>237.363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54.5</v>
      </c>
      <c r="C47" s="24">
        <v>53.5</v>
      </c>
      <c r="D47" s="24">
        <v>52.5</v>
      </c>
      <c r="E47" s="24">
        <v>51.5</v>
      </c>
      <c r="F47" s="24">
        <v>52</v>
      </c>
      <c r="G47" s="24">
        <v>51.5</v>
      </c>
      <c r="H47" s="25">
        <v>50.5</v>
      </c>
      <c r="I47" s="128">
        <f>+((I46/I48)/7)*1000</f>
        <v>52.230000201661696</v>
      </c>
      <c r="J47" s="42"/>
      <c r="K47" s="50"/>
      <c r="L47" s="49"/>
      <c r="M47" s="49"/>
      <c r="N47" s="49"/>
      <c r="P47" s="93" t="s">
        <v>11</v>
      </c>
      <c r="Q47" s="63">
        <v>63.5</v>
      </c>
      <c r="R47" s="24">
        <v>63.5</v>
      </c>
      <c r="S47" s="24">
        <v>63.5</v>
      </c>
      <c r="T47" s="78">
        <f>+((T46/T48)/7)*1000</f>
        <v>63.5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754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3542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148</v>
      </c>
      <c r="T48" s="82">
        <f>SUM(O48:S48)</f>
        <v>534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17.658000000000001</v>
      </c>
      <c r="C49" s="31">
        <f t="shared" si="9"/>
        <v>29.318000000000001</v>
      </c>
      <c r="D49" s="31">
        <f t="shared" si="9"/>
        <v>39.585000000000001</v>
      </c>
      <c r="E49" s="31">
        <f t="shared" si="9"/>
        <v>21.578499999999998</v>
      </c>
      <c r="F49" s="31">
        <f t="shared" si="9"/>
        <v>21.891999999999999</v>
      </c>
      <c r="G49" s="31">
        <f t="shared" si="9"/>
        <v>32.856999999999999</v>
      </c>
      <c r="H49" s="32">
        <f t="shared" si="9"/>
        <v>22.119</v>
      </c>
      <c r="I49" s="130">
        <f>((I46*1000)/I48)/7</f>
        <v>52.230000201661703</v>
      </c>
      <c r="J49" s="192"/>
      <c r="K49" s="192"/>
      <c r="L49" s="49"/>
      <c r="M49" s="49"/>
      <c r="N49" s="49"/>
      <c r="P49" s="72" t="s">
        <v>13</v>
      </c>
      <c r="Q49" s="65">
        <f>(Q48*Q47)/1000</f>
        <v>14.605</v>
      </c>
      <c r="R49" s="31">
        <f>(R48*R47)/1000</f>
        <v>9.9060000000000006</v>
      </c>
      <c r="S49" s="31">
        <f>(S48*S47)/1000</f>
        <v>9.3979999999999997</v>
      </c>
      <c r="T49" s="83">
        <f>((T46*1000)/T48)/7</f>
        <v>63.5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123.60599999999999</v>
      </c>
      <c r="C50" s="35">
        <f t="shared" si="10"/>
        <v>205.226</v>
      </c>
      <c r="D50" s="35">
        <f t="shared" si="10"/>
        <v>277.09500000000003</v>
      </c>
      <c r="E50" s="35">
        <f t="shared" si="10"/>
        <v>151.04949999999999</v>
      </c>
      <c r="F50" s="35">
        <f t="shared" si="10"/>
        <v>153.244</v>
      </c>
      <c r="G50" s="35">
        <f t="shared" si="10"/>
        <v>229.999</v>
      </c>
      <c r="H50" s="68">
        <f t="shared" si="10"/>
        <v>154.833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102.235</v>
      </c>
      <c r="R50" s="35">
        <f>((R48*R47)*7)/1000</f>
        <v>69.341999999999999</v>
      </c>
      <c r="S50" s="35">
        <f>((S48*S47)*7)/1000</f>
        <v>65.786000000000001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54.500000000000007</v>
      </c>
      <c r="C51" s="38">
        <f t="shared" si="11"/>
        <v>53.500000000000007</v>
      </c>
      <c r="D51" s="38">
        <f t="shared" si="11"/>
        <v>52.500000000000007</v>
      </c>
      <c r="E51" s="38">
        <f t="shared" si="11"/>
        <v>51.5</v>
      </c>
      <c r="F51" s="38">
        <f t="shared" si="11"/>
        <v>52</v>
      </c>
      <c r="G51" s="38">
        <f t="shared" si="11"/>
        <v>51.486145320197039</v>
      </c>
      <c r="H51" s="39">
        <f t="shared" si="11"/>
        <v>50.499999999999993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63.499999999999986</v>
      </c>
      <c r="R51" s="38">
        <f>+(R46/R48)/7*1000</f>
        <v>63.5</v>
      </c>
      <c r="S51" s="38">
        <f>+(S46/S48)/7*1000</f>
        <v>63.5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8"/>
      <c r="P54" s="1018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6" t="s">
        <v>17</v>
      </c>
      <c r="C55" s="1016"/>
      <c r="D55" s="1016"/>
      <c r="E55" s="1016"/>
      <c r="F55" s="1017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28.5</v>
      </c>
      <c r="C59" s="61">
        <v>34.299999999999997</v>
      </c>
      <c r="D59" s="61">
        <v>39.6</v>
      </c>
      <c r="E59" s="61">
        <v>30.7</v>
      </c>
      <c r="F59" s="61">
        <v>38.9</v>
      </c>
      <c r="G59" s="77">
        <f t="shared" si="12"/>
        <v>172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28.597749999999998</v>
      </c>
      <c r="C60" s="61">
        <f>((((($C$66*$C$67)/1000)*7)-$C$59)/4)</f>
        <v>34.220375000000004</v>
      </c>
      <c r="D60" s="61">
        <f>((((($D$66*$D$67)/1000)*7)-$D$59)/4)</f>
        <v>39.728250000000003</v>
      </c>
      <c r="E60" s="61">
        <f>((((($E$66*$E$67)/1000)*7)-$E$59)/4)</f>
        <v>30.804874999999999</v>
      </c>
      <c r="F60" s="61">
        <f>((((($F$66*$F$67)/1000)*7)-$F$59)/4)</f>
        <v>39.064124999999997</v>
      </c>
      <c r="G60" s="77">
        <f t="shared" si="12"/>
        <v>172.41537500000001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28.597749999999998</v>
      </c>
      <c r="C61" s="61">
        <f>((((($C$66*$C$67)/1000)*7)-$C$59)/4)</f>
        <v>34.220375000000004</v>
      </c>
      <c r="D61" s="61">
        <f>((((($D$66*$D$67)/1000)*7)-$D$59)/4)</f>
        <v>39.728250000000003</v>
      </c>
      <c r="E61" s="61">
        <f>((((($E$66*$E$67)/1000)*7)-$E$59)/4)</f>
        <v>30.804874999999999</v>
      </c>
      <c r="F61" s="61">
        <f>((((($F$66*$F$67)/1000)*7)-$F$59)/4)</f>
        <v>39.064124999999997</v>
      </c>
      <c r="G61" s="77">
        <f t="shared" si="12"/>
        <v>172.41537500000001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28.597749999999998</v>
      </c>
      <c r="C63" s="61">
        <f>((((($C$66*$C$67)/1000)*7)-$C$59)/4)</f>
        <v>34.220375000000004</v>
      </c>
      <c r="D63" s="61">
        <f>((((($D$66*$D$67)/1000)*7)-$D$59)/4)</f>
        <v>39.728250000000003</v>
      </c>
      <c r="E63" s="61">
        <f>((((($E$66*$E$67)/1000)*7)-$E$59)/4)</f>
        <v>30.804874999999999</v>
      </c>
      <c r="F63" s="61">
        <f>((((($F$66*$F$67)/1000)*7)-$F$59)/4)</f>
        <v>39.064124999999997</v>
      </c>
      <c r="G63" s="77">
        <f t="shared" si="12"/>
        <v>172.41537500000001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28.597749999999998</v>
      </c>
      <c r="C64" s="61">
        <f>((((($C$66*$C$67)/1000)*7)-$C$59)/4)</f>
        <v>34.220375000000004</v>
      </c>
      <c r="D64" s="61">
        <f>((((($D$66*$D$67)/1000)*7)-$D$59)/4)</f>
        <v>39.728250000000003</v>
      </c>
      <c r="E64" s="61">
        <f>((((($E$66*$E$67)/1000)*7)-$E$59)/4)</f>
        <v>30.804874999999999</v>
      </c>
      <c r="F64" s="61">
        <f>((((($F$66*$F$67)/1000)*7)-$F$59)/4)</f>
        <v>39.064124999999997</v>
      </c>
      <c r="G64" s="77">
        <f t="shared" si="12"/>
        <v>172.41537500000001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142.89099999999999</v>
      </c>
      <c r="C65" s="22">
        <f>SUM(C58:C64)</f>
        <v>171.18150000000003</v>
      </c>
      <c r="D65" s="22">
        <f>SUM(D58:D64)</f>
        <v>198.51300000000001</v>
      </c>
      <c r="E65" s="22">
        <f>SUM(E58:E64)</f>
        <v>153.9195</v>
      </c>
      <c r="F65" s="22">
        <f>SUM(F58:F64)</f>
        <v>195.15649999999997</v>
      </c>
      <c r="G65" s="77">
        <f t="shared" si="12"/>
        <v>861.66149999999993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68.5</v>
      </c>
      <c r="C66" s="24">
        <v>68.5</v>
      </c>
      <c r="D66" s="24">
        <v>68.5</v>
      </c>
      <c r="E66" s="24">
        <v>68.5</v>
      </c>
      <c r="F66" s="24">
        <v>68.5</v>
      </c>
      <c r="G66" s="78">
        <f>+((G65/G67)/7)*1000</f>
        <v>68.499999999999986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321</v>
      </c>
      <c r="F67" s="79">
        <v>407</v>
      </c>
      <c r="G67" s="82">
        <f>SUM(B67:F67)</f>
        <v>1797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20.413</v>
      </c>
      <c r="C68" s="31">
        <f>(C67*C66)/1000</f>
        <v>24.454499999999999</v>
      </c>
      <c r="D68" s="31">
        <f>(D67*D66)/1000</f>
        <v>28.359000000000002</v>
      </c>
      <c r="E68" s="31">
        <f>(E67*E66)/1000</f>
        <v>21.988499999999998</v>
      </c>
      <c r="F68" s="31">
        <f>(F67*F66)/1000</f>
        <v>27.8795</v>
      </c>
      <c r="G68" s="86">
        <f>((G65*1000)/G67)/7</f>
        <v>68.499999999999986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142.89099999999999</v>
      </c>
      <c r="C69" s="35">
        <f>((C67*C66)*7)/1000</f>
        <v>171.1815</v>
      </c>
      <c r="D69" s="35">
        <f>((D67*D66)*7)/1000</f>
        <v>198.51300000000001</v>
      </c>
      <c r="E69" s="35">
        <f>((E67*E66)*7)/1000</f>
        <v>153.9195</v>
      </c>
      <c r="F69" s="35">
        <f>((F67*F66)*7)/1000</f>
        <v>195.15649999999999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68.499999999999986</v>
      </c>
      <c r="C70" s="38">
        <f>+(C65/C67)/7*1000</f>
        <v>68.500000000000014</v>
      </c>
      <c r="D70" s="38">
        <f>+(D65/D67)/7*1000</f>
        <v>68.5</v>
      </c>
      <c r="E70" s="38">
        <f>+(E65/E67)/7*1000</f>
        <v>68.499999999999986</v>
      </c>
      <c r="F70" s="38">
        <f>+(F65/F67)/7*1000</f>
        <v>68.499999999999986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T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AI239"/>
  <sheetViews>
    <sheetView topLeftCell="A11" zoomScale="30" zoomScaleNormal="30" workbookViewId="0">
      <selection activeCell="B26" sqref="B26:W26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60</v>
      </c>
      <c r="Q11" s="1022"/>
      <c r="R11" s="6"/>
      <c r="S11" s="6"/>
      <c r="T11" s="1"/>
      <c r="U11" s="1"/>
      <c r="V11" s="1" t="s">
        <v>6</v>
      </c>
      <c r="W11" s="95">
        <v>45434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6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26"/>
      <c r="M15" s="174"/>
      <c r="N15" s="174"/>
      <c r="O15" s="1026" t="s">
        <v>8</v>
      </c>
      <c r="P15" s="1026"/>
      <c r="Q15" s="1026"/>
      <c r="R15" s="1026"/>
      <c r="S15" s="1026"/>
      <c r="T15" s="1026"/>
      <c r="U15" s="1026"/>
      <c r="V15" s="1026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39.700000000000003</v>
      </c>
      <c r="C19" s="19">
        <v>32.6</v>
      </c>
      <c r="D19" s="19">
        <v>32.5</v>
      </c>
      <c r="E19" s="19">
        <v>35.299999999999997</v>
      </c>
      <c r="F19" s="19">
        <v>34.9</v>
      </c>
      <c r="G19" s="19">
        <v>35.700000000000003</v>
      </c>
      <c r="H19" s="19">
        <v>37.9</v>
      </c>
      <c r="I19" s="19">
        <v>38.6</v>
      </c>
      <c r="J19" s="19">
        <v>32</v>
      </c>
      <c r="K19" s="19">
        <v>31.8</v>
      </c>
      <c r="L19" s="19">
        <v>44.2</v>
      </c>
      <c r="M19" s="19">
        <v>34.200000000000003</v>
      </c>
      <c r="N19" s="20">
        <v>14.5</v>
      </c>
      <c r="O19" s="61">
        <v>18.3</v>
      </c>
      <c r="P19" s="19">
        <v>53.6</v>
      </c>
      <c r="Q19" s="19">
        <v>39.1</v>
      </c>
      <c r="R19" s="19">
        <v>39.200000000000003</v>
      </c>
      <c r="S19" s="19">
        <v>56</v>
      </c>
      <c r="T19" s="19">
        <v>53</v>
      </c>
      <c r="U19" s="19">
        <v>42.3</v>
      </c>
      <c r="V19" s="19">
        <v>30.2</v>
      </c>
      <c r="W19" s="19">
        <v>28.4</v>
      </c>
      <c r="X19" s="20"/>
      <c r="Y19" s="98">
        <f t="shared" si="0"/>
        <v>804.00000000000011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40.837249999999997</v>
      </c>
      <c r="C20" s="19">
        <f>((((($C$26*$C$27)/1000)*7)-$C$19)/4)</f>
        <v>33.256750000000004</v>
      </c>
      <c r="D20" s="19">
        <f>((((($D$26*$D$27)/1000)*7)-$D$19)/4)</f>
        <v>33.195124999999997</v>
      </c>
      <c r="E20" s="19">
        <f>((((($E$26*$E$27)/1000)*7)-$E$19)/4)</f>
        <v>35.564625000000007</v>
      </c>
      <c r="F20" s="19">
        <f>((((($F$26*$F$27)/1000)*7)-$F$19)/4)</f>
        <v>35.919249999999998</v>
      </c>
      <c r="G20" s="19">
        <f>((((($G$26*$G$27)/1000)*7)-$G$19)/4)</f>
        <v>36.265249999999995</v>
      </c>
      <c r="H20" s="19">
        <f>((((($H$26*$H$27)/1000)*7)-$H$19)/4)</f>
        <v>38.147750000000002</v>
      </c>
      <c r="I20" s="19">
        <f>((((($I$26*$I$27)/1000)*7)-$I$19)/4)</f>
        <v>39.662375000000004</v>
      </c>
      <c r="J20" s="19">
        <f>((((($J$26*$J$27)/1000)*7)-$J$19)/4)</f>
        <v>32.067999999999998</v>
      </c>
      <c r="K20" s="19">
        <f>((((($K$26*$K$27)/1000)*7)-$K$19)/4)</f>
        <v>31.865999999999996</v>
      </c>
      <c r="L20" s="19">
        <f>((((($L$26*$L$27)/1000)*7)-$L$19)/4)</f>
        <v>44.962249999999997</v>
      </c>
      <c r="M20" s="19">
        <f>((((($M$26*$M$27)/1000)*7)-$M$19)/4)</f>
        <v>34.356499999999997</v>
      </c>
      <c r="N20" s="20">
        <f>((((($N$26*$N$27)/1000)*7)-$N$19)/4)</f>
        <v>14.8095</v>
      </c>
      <c r="O20" s="61">
        <f>((((($O$26*$O$27)/1000)*7)-$O$19)/4)</f>
        <v>19.0185</v>
      </c>
      <c r="P20" s="19">
        <f>((((($P$26*$P$27)/1000)*7)-$P$19)/4)</f>
        <v>54.587499999999999</v>
      </c>
      <c r="Q20" s="19">
        <f>((((($Q$26*$Q$27)/1000)*7)-$Q$19)/4)</f>
        <v>40.204999999999998</v>
      </c>
      <c r="R20" s="19">
        <f>((((($R$26*$R$27)/1000)*7-$R$19)/4))</f>
        <v>39.778374999999997</v>
      </c>
      <c r="S20" s="19">
        <f>((((($S$26*$S$27)/1000)*7)-$S$19)/4)</f>
        <v>56.962499999999991</v>
      </c>
      <c r="T20" s="19">
        <f>((((($T$26*$T$27)/1000)*7)-$T$19)/4)</f>
        <v>54.664000000000001</v>
      </c>
      <c r="U20" s="19">
        <f>((((($U$26*$U$27)/1000)*7)-$U$19)/4)</f>
        <v>43.619</v>
      </c>
      <c r="V20" s="19">
        <f>((((($V$26*$V$27)/1000)*7)-$V$19)/4)</f>
        <v>31.174000000000003</v>
      </c>
      <c r="W20" s="19">
        <f>((((($W$26*$W$27)/1000)*7)-$W$19)/4)</f>
        <v>29.172249999999998</v>
      </c>
      <c r="X20" s="20"/>
      <c r="Y20" s="98">
        <f t="shared" si="0"/>
        <v>820.09174999999993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40.837249999999997</v>
      </c>
      <c r="C21" s="19">
        <f>((((($C$26*$C$27)/1000)*7)-$C$19)/4)</f>
        <v>33.256750000000004</v>
      </c>
      <c r="D21" s="19">
        <f>((((($D$26*$D$27)/1000)*7)-$D$19)/4)</f>
        <v>33.195124999999997</v>
      </c>
      <c r="E21" s="19">
        <f>((((($E$26*$E$27)/1000)*7)-$E$19)/4)</f>
        <v>35.564625000000007</v>
      </c>
      <c r="F21" s="19">
        <f>((((($F$26*$F$27)/1000)*7)-$F$19)/4)</f>
        <v>35.919249999999998</v>
      </c>
      <c r="G21" s="19">
        <f>((((($G$26*$G$27)/1000)*7)-$G$19)/4)</f>
        <v>36.265249999999995</v>
      </c>
      <c r="H21" s="19">
        <f>((((($H$26*$H$27)/1000)*7)-$H$19)/4)</f>
        <v>38.147750000000002</v>
      </c>
      <c r="I21" s="19">
        <f>((((($I$26*$I$27)/1000)*7)-$I$19)/4)</f>
        <v>39.662375000000004</v>
      </c>
      <c r="J21" s="19">
        <f>((((($J$26*$J$27)/1000)*7)-$J$19)/4)</f>
        <v>32.067999999999998</v>
      </c>
      <c r="K21" s="19">
        <f>((((($K$26*$K$27)/1000)*7)-$K$19)/4)</f>
        <v>31.865999999999996</v>
      </c>
      <c r="L21" s="19">
        <f>((((($L$26*$L$27)/1000)*7)-$L$19)/4)</f>
        <v>44.962249999999997</v>
      </c>
      <c r="M21" s="19">
        <f>((((($M$26*$M$27)/1000)*7)-$M$19)/4)</f>
        <v>34.356499999999997</v>
      </c>
      <c r="N21" s="20">
        <f>((((($N$26*$N$27)/1000)*7)-$N$19)/4)</f>
        <v>14.8095</v>
      </c>
      <c r="O21" s="61">
        <f>((((($O$26*$O$27)/1000)*7)-$O$19)/4)</f>
        <v>19.0185</v>
      </c>
      <c r="P21" s="19">
        <f>((((($P$26*$P$27)/1000)*7)-$P$19)/4)</f>
        <v>54.587499999999999</v>
      </c>
      <c r="Q21" s="19">
        <f>((((($Q$26*$Q$27)/1000)*7)-$Q$19)/4)</f>
        <v>40.204999999999998</v>
      </c>
      <c r="R21" s="19">
        <f>((((($R$26*$R$27)/1000)*7-$R$19)/4))</f>
        <v>39.778374999999997</v>
      </c>
      <c r="S21" s="19">
        <f>((((($S$26*$S$27)/1000)*7)-$S$19)/4)</f>
        <v>56.962499999999991</v>
      </c>
      <c r="T21" s="19">
        <f>((((($T$26*$T$27)/1000)*7)-$T$19)/4)</f>
        <v>54.664000000000001</v>
      </c>
      <c r="U21" s="19">
        <f>((((($U$26*$U$27)/1000)*7)-$U$19)/4)</f>
        <v>43.619</v>
      </c>
      <c r="V21" s="19">
        <f>((((($V$26*$V$27)/1000)*7)-$V$19)/4)</f>
        <v>31.174000000000003</v>
      </c>
      <c r="W21" s="19">
        <f>((((($W$26*$W$27)/1000)*7)-$W$19)/4)</f>
        <v>29.172249999999998</v>
      </c>
      <c r="X21" s="20"/>
      <c r="Y21" s="98">
        <f t="shared" si="0"/>
        <v>820.09174999999993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40.837249999999997</v>
      </c>
      <c r="C23" s="19">
        <f>((((($C$26*$C$27)/1000)*7)-$C$19)/4)</f>
        <v>33.256750000000004</v>
      </c>
      <c r="D23" s="19">
        <f>((((($D$26*$D$27)/1000)*7)-$D$19)/4)</f>
        <v>33.195124999999997</v>
      </c>
      <c r="E23" s="19">
        <f>((((($E$26*$E$27)/1000)*7)-$E$19)/4)</f>
        <v>35.564625000000007</v>
      </c>
      <c r="F23" s="19">
        <f>((((($F$26*$F$27)/1000)*7)-$F$19)/4)</f>
        <v>35.919249999999998</v>
      </c>
      <c r="G23" s="19">
        <f>((((($G$26*$G$27)/1000)*7)-$G$19)/4)</f>
        <v>36.265249999999995</v>
      </c>
      <c r="H23" s="19">
        <f>((((($H$26*$H$27)/1000)*7)-$H$19)/4)</f>
        <v>38.147750000000002</v>
      </c>
      <c r="I23" s="19">
        <f>((((($I$26*$I$27)/1000)*7)-$I$19)/4)</f>
        <v>39.662375000000004</v>
      </c>
      <c r="J23" s="19">
        <f>((((($J$26*$J$27)/1000)*7)-$J$19)/4)</f>
        <v>32.067999999999998</v>
      </c>
      <c r="K23" s="19">
        <f>((((($K$26*$K$27)/1000)*7)-$K$19)/4)</f>
        <v>31.865999999999996</v>
      </c>
      <c r="L23" s="19">
        <f>((((($L$26*$L$27)/1000)*7)-$L$19)/4)</f>
        <v>44.962249999999997</v>
      </c>
      <c r="M23" s="19">
        <f>((((($M$26*$M$27)/1000)*7)-$M$19)/4)</f>
        <v>34.356499999999997</v>
      </c>
      <c r="N23" s="20">
        <f>((((($N$26*$N$27)/1000)*7)-$N$19)/4)</f>
        <v>14.8095</v>
      </c>
      <c r="O23" s="61">
        <f>((((($O$26*$O$27)/1000)*7)-$O$19)/4)</f>
        <v>19.0185</v>
      </c>
      <c r="P23" s="19">
        <f>((((($P$26*$P$27)/1000)*7)-$P$19)/4)</f>
        <v>54.587499999999999</v>
      </c>
      <c r="Q23" s="19">
        <f>((((($Q$26*$Q$27)/1000)*7)-$Q$19)/4)</f>
        <v>40.204999999999998</v>
      </c>
      <c r="R23" s="19">
        <f>((((($R$26*$R$27)/1000)*7-$R$19)/4))</f>
        <v>39.778374999999997</v>
      </c>
      <c r="S23" s="19">
        <f>((((($S$26*$S$27)/1000)*7)-$S$19)/4)</f>
        <v>56.962499999999991</v>
      </c>
      <c r="T23" s="19">
        <f>((((($T$26*$T$27)/1000)*7)-$T$19)/4)</f>
        <v>54.664000000000001</v>
      </c>
      <c r="U23" s="19">
        <f>((((($U$26*$U$27)/1000)*7)-$U$19)/4)</f>
        <v>43.619</v>
      </c>
      <c r="V23" s="19">
        <f>((((($V$26*$V$27)/1000)*7)-$V$19)/4)</f>
        <v>31.174000000000003</v>
      </c>
      <c r="W23" s="19">
        <f>((((($W$26*$W$27)/1000)*7)-$W$19)/4)</f>
        <v>29.172249999999998</v>
      </c>
      <c r="X23" s="20"/>
      <c r="Y23" s="98">
        <f t="shared" si="0"/>
        <v>820.09174999999993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40.837249999999997</v>
      </c>
      <c r="C24" s="19">
        <f>((((($C$26*$C$27)/1000)*7)-$C$19)/4)</f>
        <v>33.256750000000004</v>
      </c>
      <c r="D24" s="19">
        <f>((((($D$26*$D$27)/1000)*7)-$D$19)/4)</f>
        <v>33.195124999999997</v>
      </c>
      <c r="E24" s="19">
        <f>((((($E$26*$E$27)/1000)*7)-$E$19)/4)</f>
        <v>35.564625000000007</v>
      </c>
      <c r="F24" s="19">
        <f>((((($F$26*$F$27)/1000)*7)-$F$19)/4)</f>
        <v>35.919249999999998</v>
      </c>
      <c r="G24" s="19">
        <f>((((($G$26*$G$27)/1000)*7)-$G$19)/4)</f>
        <v>36.265249999999995</v>
      </c>
      <c r="H24" s="19">
        <f>((((($H$26*$H$27)/1000)*7)-$H$19)/4)</f>
        <v>38.147750000000002</v>
      </c>
      <c r="I24" s="19">
        <f>((((($I$26*$I$27)/1000)*7)-$I$19)/4)</f>
        <v>39.662375000000004</v>
      </c>
      <c r="J24" s="19">
        <f>((((($J$26*$J$27)/1000)*7)-$J$19)/4)</f>
        <v>32.067999999999998</v>
      </c>
      <c r="K24" s="19">
        <f>((((($K$26*$K$27)/1000)*7)-$K$19)/4)</f>
        <v>31.865999999999996</v>
      </c>
      <c r="L24" s="19">
        <f>((((($L$26*$L$27)/1000)*7)-$L$19)/4)</f>
        <v>44.962249999999997</v>
      </c>
      <c r="M24" s="19">
        <f>((((($M$26*$M$27)/1000)*7)-$M$19)/4)</f>
        <v>34.356499999999997</v>
      </c>
      <c r="N24" s="20">
        <f>((((($N$26*$N$27)/1000)*7)-$N$19)/4)</f>
        <v>14.8095</v>
      </c>
      <c r="O24" s="61">
        <f>((((($O$26*$O$27)/1000)*7)-$O$19)/4)</f>
        <v>19.0185</v>
      </c>
      <c r="P24" s="19">
        <f>((((($P$26*$P$27)/1000)*7)-$P$19)/4)</f>
        <v>54.587499999999999</v>
      </c>
      <c r="Q24" s="19">
        <f>((((($Q$26*$Q$27)/1000)*7)-$Q$19)/4)</f>
        <v>40.204999999999998</v>
      </c>
      <c r="R24" s="19">
        <f>((((($R$26*$R$27)/1000)*7-$R$19)/4))</f>
        <v>39.778374999999997</v>
      </c>
      <c r="S24" s="19">
        <f>((((($S$26*$S$27)/1000)*7)-$S$19)/4)</f>
        <v>56.962499999999991</v>
      </c>
      <c r="T24" s="19">
        <f>((((($T$26*$T$27)/1000)*7)-$T$19)/4)</f>
        <v>54.664000000000001</v>
      </c>
      <c r="U24" s="19">
        <f>((((($U$26*$U$27)/1000)*7)-$U$19)/4)</f>
        <v>43.619</v>
      </c>
      <c r="V24" s="19">
        <f>((((($V$26*$V$27)/1000)*7)-$V$19)/4)</f>
        <v>31.174000000000003</v>
      </c>
      <c r="W24" s="19">
        <f>((((($W$26*$W$27)/1000)*7)-$W$19)/4)</f>
        <v>29.172249999999998</v>
      </c>
      <c r="X24" s="20"/>
      <c r="Y24" s="98">
        <f t="shared" si="0"/>
        <v>820.09174999999993</v>
      </c>
      <c r="AA24" s="2"/>
    </row>
    <row r="25" spans="1:35" ht="41.45" customHeight="1" x14ac:dyDescent="0.25">
      <c r="A25" s="182" t="s">
        <v>9</v>
      </c>
      <c r="B25" s="21">
        <f>SUM(B18:B24)</f>
        <v>203.04899999999998</v>
      </c>
      <c r="C25" s="22">
        <f>SUM(C18:C24)</f>
        <v>165.62700000000004</v>
      </c>
      <c r="D25" s="22">
        <f>SUM(D18:D24)</f>
        <v>165.28049999999996</v>
      </c>
      <c r="E25" s="22">
        <f>SUM(E18:E24)</f>
        <v>177.55850000000001</v>
      </c>
      <c r="F25" s="22">
        <f>SUM(F18:F24)</f>
        <v>178.577</v>
      </c>
      <c r="G25" s="22">
        <f t="shared" ref="G25:W25" si="1">SUM(G18:G24)</f>
        <v>180.76099999999997</v>
      </c>
      <c r="H25" s="22">
        <f t="shared" si="1"/>
        <v>190.49100000000001</v>
      </c>
      <c r="I25" s="22">
        <f t="shared" si="1"/>
        <v>197.24950000000001</v>
      </c>
      <c r="J25" s="22">
        <f>SUM(J18:J24)</f>
        <v>160.27199999999999</v>
      </c>
      <c r="K25" s="22">
        <f t="shared" si="1"/>
        <v>159.26399999999998</v>
      </c>
      <c r="L25" s="22">
        <f t="shared" si="1"/>
        <v>224.04899999999998</v>
      </c>
      <c r="M25" s="22">
        <f t="shared" si="1"/>
        <v>171.62599999999998</v>
      </c>
      <c r="N25" s="153">
        <f t="shared" si="1"/>
        <v>73.738</v>
      </c>
      <c r="O25" s="62">
        <f t="shared" si="1"/>
        <v>94.374000000000009</v>
      </c>
      <c r="P25" s="22">
        <f t="shared" si="1"/>
        <v>271.95</v>
      </c>
      <c r="Q25" s="22">
        <f t="shared" si="1"/>
        <v>199.92000000000002</v>
      </c>
      <c r="R25" s="22">
        <f t="shared" si="1"/>
        <v>198.31349999999998</v>
      </c>
      <c r="S25" s="19">
        <f>SUM(S18:S24)</f>
        <v>283.84999999999997</v>
      </c>
      <c r="T25" s="199">
        <f>SUM(T18:T24)</f>
        <v>271.65600000000001</v>
      </c>
      <c r="U25" s="199">
        <f>SUM(U18:U24)</f>
        <v>216.77600000000001</v>
      </c>
      <c r="V25" s="199">
        <f>SUM(V18:V24)</f>
        <v>154.89600000000002</v>
      </c>
      <c r="W25" s="199">
        <f t="shared" si="1"/>
        <v>145.08899999999997</v>
      </c>
      <c r="X25" s="20"/>
      <c r="Y25" s="98">
        <f>SUM(Y18:Y24)</f>
        <v>4084.3670000000002</v>
      </c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49.5</v>
      </c>
      <c r="E26" s="24">
        <v>48.5</v>
      </c>
      <c r="F26" s="24">
        <v>48.5</v>
      </c>
      <c r="G26" s="24">
        <v>49</v>
      </c>
      <c r="H26" s="24">
        <v>47</v>
      </c>
      <c r="I26" s="24">
        <v>48.5</v>
      </c>
      <c r="J26" s="24">
        <v>48</v>
      </c>
      <c r="K26" s="24">
        <v>48</v>
      </c>
      <c r="L26" s="24">
        <v>47</v>
      </c>
      <c r="M26" s="24">
        <v>46</v>
      </c>
      <c r="N26" s="25">
        <v>46</v>
      </c>
      <c r="O26" s="63">
        <v>53.5</v>
      </c>
      <c r="P26" s="24">
        <v>52.5</v>
      </c>
      <c r="Q26" s="24">
        <v>51</v>
      </c>
      <c r="R26" s="24">
        <v>50.5</v>
      </c>
      <c r="S26" s="24">
        <v>50</v>
      </c>
      <c r="T26" s="24">
        <v>49.5</v>
      </c>
      <c r="U26" s="24">
        <v>49</v>
      </c>
      <c r="V26" s="24">
        <v>48</v>
      </c>
      <c r="W26" s="24">
        <v>47</v>
      </c>
      <c r="X26" s="25"/>
      <c r="Y26" s="99">
        <f>((Y25/Y27)/7)*1000</f>
        <v>48.978510870477628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579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441</v>
      </c>
      <c r="X27" s="28"/>
      <c r="Y27" s="29">
        <f>SUM(B27,C27,D27,E27,F27,G27,H27,I27,J27,K27,L27,M27,N27,O27,P27,Q27,R27,S27,T27,U27,V27,W27)</f>
        <v>11913</v>
      </c>
    </row>
    <row r="28" spans="1:35" s="2" customFormat="1" ht="33" customHeight="1" x14ac:dyDescent="0.25">
      <c r="A28" s="150" t="s">
        <v>13</v>
      </c>
      <c r="B28" s="30">
        <f>(B27*B26)/1000</f>
        <v>29.007000000000001</v>
      </c>
      <c r="C28" s="31">
        <f>(C27*C26)/1000</f>
        <v>23.661000000000001</v>
      </c>
      <c r="D28" s="31">
        <f>(D27*D26)/1000</f>
        <v>23.611499999999999</v>
      </c>
      <c r="E28" s="31">
        <f>(E27*E26)/1000</f>
        <v>25.365500000000001</v>
      </c>
      <c r="F28" s="31">
        <f>(F27*F26)/1000</f>
        <v>25.510999999999999</v>
      </c>
      <c r="G28" s="31">
        <f t="shared" ref="G28:W28" si="2">(G27*G26)/1000</f>
        <v>25.823</v>
      </c>
      <c r="H28" s="31">
        <f t="shared" si="2"/>
        <v>27.213000000000001</v>
      </c>
      <c r="I28" s="31">
        <f t="shared" si="2"/>
        <v>28.1785</v>
      </c>
      <c r="J28" s="31">
        <f t="shared" si="2"/>
        <v>22.896000000000001</v>
      </c>
      <c r="K28" s="31">
        <f t="shared" si="2"/>
        <v>22.751999999999999</v>
      </c>
      <c r="L28" s="31">
        <f t="shared" si="2"/>
        <v>32.006999999999998</v>
      </c>
      <c r="M28" s="31">
        <f t="shared" si="2"/>
        <v>24.518000000000001</v>
      </c>
      <c r="N28" s="32">
        <f t="shared" si="2"/>
        <v>10.534000000000001</v>
      </c>
      <c r="O28" s="65">
        <f t="shared" si="2"/>
        <v>13.481999999999999</v>
      </c>
      <c r="P28" s="31">
        <f t="shared" si="2"/>
        <v>38.85</v>
      </c>
      <c r="Q28" s="31">
        <f t="shared" si="2"/>
        <v>28.56</v>
      </c>
      <c r="R28" s="31">
        <f t="shared" si="2"/>
        <v>28.330500000000001</v>
      </c>
      <c r="S28" s="31">
        <f t="shared" si="2"/>
        <v>40.549999999999997</v>
      </c>
      <c r="T28" s="31">
        <f t="shared" si="2"/>
        <v>38.808</v>
      </c>
      <c r="U28" s="31">
        <f t="shared" si="2"/>
        <v>30.968</v>
      </c>
      <c r="V28" s="31">
        <f t="shared" si="2"/>
        <v>22.128</v>
      </c>
      <c r="W28" s="31">
        <f t="shared" si="2"/>
        <v>20.727</v>
      </c>
      <c r="X28" s="32"/>
      <c r="Y28" s="33">
        <f>((Y25*1000)/7)/Y27</f>
        <v>48.978510870477628</v>
      </c>
    </row>
    <row r="29" spans="1:35" ht="33.75" customHeight="1" x14ac:dyDescent="0.25">
      <c r="A29" s="151" t="s">
        <v>14</v>
      </c>
      <c r="B29" s="34">
        <f>((B27*B26)*7)/1000</f>
        <v>203.04900000000001</v>
      </c>
      <c r="C29" s="35">
        <f t="shared" ref="C29:N29" si="3">((C27*C26)*6)/1000</f>
        <v>141.96600000000001</v>
      </c>
      <c r="D29" s="35">
        <f t="shared" si="3"/>
        <v>141.66900000000001</v>
      </c>
      <c r="E29" s="35">
        <f t="shared" si="3"/>
        <v>152.19300000000001</v>
      </c>
      <c r="F29" s="35">
        <f t="shared" si="3"/>
        <v>153.066</v>
      </c>
      <c r="G29" s="35">
        <f t="shared" si="3"/>
        <v>154.93799999999999</v>
      </c>
      <c r="H29" s="35">
        <f t="shared" si="3"/>
        <v>163.27799999999999</v>
      </c>
      <c r="I29" s="35">
        <f t="shared" si="3"/>
        <v>169.071</v>
      </c>
      <c r="J29" s="35">
        <f t="shared" si="3"/>
        <v>137.376</v>
      </c>
      <c r="K29" s="35">
        <f t="shared" si="3"/>
        <v>136.512</v>
      </c>
      <c r="L29" s="35">
        <f t="shared" si="3"/>
        <v>192.042</v>
      </c>
      <c r="M29" s="35">
        <f t="shared" si="3"/>
        <v>147.108</v>
      </c>
      <c r="N29" s="68">
        <f t="shared" si="3"/>
        <v>63.204000000000001</v>
      </c>
      <c r="O29" s="66">
        <f t="shared" ref="O29:W29" si="4">((O27*O26)*4)/1000</f>
        <v>53.927999999999997</v>
      </c>
      <c r="P29" s="35">
        <f t="shared" si="4"/>
        <v>155.4</v>
      </c>
      <c r="Q29" s="35">
        <f t="shared" si="4"/>
        <v>114.24</v>
      </c>
      <c r="R29" s="35">
        <f t="shared" si="4"/>
        <v>113.322</v>
      </c>
      <c r="S29" s="35">
        <f t="shared" si="4"/>
        <v>162.19999999999999</v>
      </c>
      <c r="T29" s="35">
        <f t="shared" si="4"/>
        <v>155.232</v>
      </c>
      <c r="U29" s="35">
        <f t="shared" si="4"/>
        <v>123.872</v>
      </c>
      <c r="V29" s="35">
        <f t="shared" si="4"/>
        <v>88.512</v>
      </c>
      <c r="W29" s="35">
        <f t="shared" si="4"/>
        <v>82.908000000000001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49.499999999999993</v>
      </c>
      <c r="C30" s="38">
        <f t="shared" si="5"/>
        <v>49.500000000000007</v>
      </c>
      <c r="D30" s="38">
        <f t="shared" si="5"/>
        <v>49.499999999999986</v>
      </c>
      <c r="E30" s="38">
        <f t="shared" si="5"/>
        <v>48.5</v>
      </c>
      <c r="F30" s="38">
        <f t="shared" si="5"/>
        <v>48.5</v>
      </c>
      <c r="G30" s="38">
        <f t="shared" si="5"/>
        <v>48.999999999999986</v>
      </c>
      <c r="H30" s="38">
        <f t="shared" si="5"/>
        <v>47</v>
      </c>
      <c r="I30" s="38">
        <f t="shared" si="5"/>
        <v>48.5</v>
      </c>
      <c r="J30" s="38">
        <f t="shared" si="5"/>
        <v>47.999999999999993</v>
      </c>
      <c r="K30" s="38">
        <f t="shared" si="5"/>
        <v>47.999999999999993</v>
      </c>
      <c r="L30" s="38">
        <f t="shared" si="5"/>
        <v>46.999999999999993</v>
      </c>
      <c r="M30" s="38">
        <f t="shared" si="5"/>
        <v>45.999999999999993</v>
      </c>
      <c r="N30" s="39">
        <f t="shared" si="5"/>
        <v>46</v>
      </c>
      <c r="O30" s="67">
        <f t="shared" si="5"/>
        <v>53.500000000000007</v>
      </c>
      <c r="P30" s="38">
        <f t="shared" si="5"/>
        <v>52.5</v>
      </c>
      <c r="Q30" s="38">
        <f t="shared" si="5"/>
        <v>51.000000000000007</v>
      </c>
      <c r="R30" s="38">
        <f t="shared" si="5"/>
        <v>50.499999999999993</v>
      </c>
      <c r="S30" s="38">
        <f t="shared" si="5"/>
        <v>49.999999999999993</v>
      </c>
      <c r="T30" s="38">
        <f t="shared" si="5"/>
        <v>49.5</v>
      </c>
      <c r="U30" s="38">
        <f t="shared" si="5"/>
        <v>49</v>
      </c>
      <c r="V30" s="38">
        <f t="shared" si="5"/>
        <v>48</v>
      </c>
      <c r="W30" s="38">
        <f t="shared" si="5"/>
        <v>46.999999999999993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31" t="s">
        <v>8</v>
      </c>
      <c r="C36" s="1032"/>
      <c r="D36" s="1032"/>
      <c r="E36" s="1032"/>
      <c r="F36" s="1032"/>
      <c r="G36" s="1032"/>
      <c r="H36" s="1033"/>
      <c r="I36" s="177"/>
      <c r="O36" s="44"/>
      <c r="P36" s="88" t="s">
        <v>18</v>
      </c>
      <c r="Q36" s="1031" t="s">
        <v>8</v>
      </c>
      <c r="R36" s="1032"/>
      <c r="S36" s="1032"/>
      <c r="T36" s="1033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34"/>
      <c r="M37" s="1034"/>
      <c r="N37" s="1034"/>
      <c r="O37" s="1034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25</v>
      </c>
      <c r="C40" s="19">
        <v>41.5</v>
      </c>
      <c r="D40" s="19">
        <v>56</v>
      </c>
      <c r="E40" s="19">
        <v>30.6</v>
      </c>
      <c r="F40" s="19">
        <v>31.1</v>
      </c>
      <c r="G40" s="19">
        <v>46.6</v>
      </c>
      <c r="H40" s="20">
        <v>31.4</v>
      </c>
      <c r="I40" s="127">
        <f t="shared" si="6"/>
        <v>262.2</v>
      </c>
      <c r="J40" s="49"/>
      <c r="K40" s="49"/>
      <c r="L40" s="43"/>
      <c r="M40" s="43"/>
      <c r="N40" s="43"/>
      <c r="O40" s="2"/>
      <c r="P40" s="96" t="s">
        <v>24</v>
      </c>
      <c r="Q40" s="205">
        <v>20.3</v>
      </c>
      <c r="R40" s="101">
        <v>13.8</v>
      </c>
      <c r="S40" s="206">
        <v>13</v>
      </c>
      <c r="T40" s="127">
        <f t="shared" si="7"/>
        <v>47.1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26.352499999999999</v>
      </c>
      <c r="C41" s="19">
        <f>((((($C$47*$C$48)/1000)*7)-$C$40)/4)</f>
        <v>43.808500000000002</v>
      </c>
      <c r="D41" s="19">
        <f>((((($D$47*$D$48)/1000)*7)-$D$40)/4)</f>
        <v>59.135125000000002</v>
      </c>
      <c r="E41" s="19">
        <f>((((($E$47*$E$48)/1000)*7)-$E$40)/4)</f>
        <v>32.312125000000002</v>
      </c>
      <c r="F41" s="19">
        <f>((((($F$47*$F$48)/1000)*7)-$F$40)/4)</f>
        <v>32.746250000000003</v>
      </c>
      <c r="G41" s="19">
        <f>((((($G$47*$G$48)/1000)*7)-$G$40)/4)</f>
        <v>49.199249999999999</v>
      </c>
      <c r="H41" s="20">
        <f>((((($H$47*$H$48)/1000)*7)-$H$40)/4)</f>
        <v>32.774499999999996</v>
      </c>
      <c r="I41" s="127">
        <f t="shared" si="6"/>
        <v>276.32825000000003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20.573</v>
      </c>
      <c r="R41" s="101">
        <f>((((($R$47*$R$48)/1000)*7)-$R$40)/4)</f>
        <v>14.022000000000002</v>
      </c>
      <c r="S41" s="206">
        <f>((((($S$47*$S$48)/1000)*7)-$S$40)/4)</f>
        <v>13.326000000000001</v>
      </c>
      <c r="T41" s="127">
        <f t="shared" si="7"/>
        <v>47.920999999999999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26.352499999999999</v>
      </c>
      <c r="C42" s="19">
        <f>((((($C$47*$C$48)/1000)*7)-$C$40)/4)</f>
        <v>43.808500000000002</v>
      </c>
      <c r="D42" s="19">
        <f>((((($D$47*$D$48)/1000)*7)-$D$40)/4)</f>
        <v>59.135125000000002</v>
      </c>
      <c r="E42" s="19">
        <f>((((($E$47*$E$48)/1000)*7)-$E$40)/4)</f>
        <v>32.312125000000002</v>
      </c>
      <c r="F42" s="19">
        <f>((((($F$47*$F$48)/1000)*7)-$F$40)/4)</f>
        <v>32.746250000000003</v>
      </c>
      <c r="G42" s="19">
        <f>((((($G$47*$G$48)/1000)*7)-$G$40)/4)</f>
        <v>49.199249999999999</v>
      </c>
      <c r="H42" s="20">
        <f>((((($H$47*$H$48)/1000)*7)-$H$40)/4)</f>
        <v>32.774499999999996</v>
      </c>
      <c r="I42" s="127">
        <f t="shared" si="6"/>
        <v>276.32825000000003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20.573</v>
      </c>
      <c r="R42" s="101">
        <f>((((($R$47*$R$48)/1000)*7)-$R$40)/4)</f>
        <v>14.022000000000002</v>
      </c>
      <c r="S42" s="206">
        <f>((((($S$47*$S$48)/1000)*7)-$S$40)/4)</f>
        <v>13.326000000000001</v>
      </c>
      <c r="T42" s="127">
        <f t="shared" si="7"/>
        <v>47.920999999999999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26.352499999999999</v>
      </c>
      <c r="C44" s="19">
        <f>((((($C$47*$C$48)/1000)*7)-$C$40)/4)</f>
        <v>43.808500000000002</v>
      </c>
      <c r="D44" s="19">
        <f>((((($D$47*$D$48)/1000)*7)-$D$40)/4)</f>
        <v>59.135125000000002</v>
      </c>
      <c r="E44" s="19">
        <f>((((($E$47*$E$48)/1000)*7)-$E$40)/4)</f>
        <v>32.312125000000002</v>
      </c>
      <c r="F44" s="19">
        <f>((((($F$47*$F$48)/1000)*7)-$F$40)/4)</f>
        <v>32.746250000000003</v>
      </c>
      <c r="G44" s="19">
        <f>((((($G$47*$G$48)/1000)*7)-$G$40)/4)</f>
        <v>49.199249999999999</v>
      </c>
      <c r="H44" s="20">
        <f>((((($H$47*$H$48)/1000)*7)-$H$40)/4)</f>
        <v>32.774499999999996</v>
      </c>
      <c r="I44" s="127">
        <f t="shared" si="6"/>
        <v>276.32825000000003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20.573</v>
      </c>
      <c r="R44" s="101">
        <f>((((($R$47*$R$48)/1000)*7)-$R$40)/4)</f>
        <v>14.022000000000002</v>
      </c>
      <c r="S44" s="206">
        <f>((((($S$47*$S$48)/1000)*7)-$S$40)/4)</f>
        <v>13.326000000000001</v>
      </c>
      <c r="T44" s="127">
        <f t="shared" si="7"/>
        <v>47.920999999999999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26.352499999999999</v>
      </c>
      <c r="C45" s="19">
        <f>((((($C$47*$C$48)/1000)*7)-$C$40)/4)</f>
        <v>43.808500000000002</v>
      </c>
      <c r="D45" s="19">
        <f>((((($D$47*$D$48)/1000)*7)-$D$40)/4)</f>
        <v>59.135125000000002</v>
      </c>
      <c r="E45" s="19">
        <f>((((($E$47*$E$48)/1000)*7)-$E$40)/4)</f>
        <v>32.312125000000002</v>
      </c>
      <c r="F45" s="19">
        <f>((((($F$47*$F$48)/1000)*7)-$F$40)/4)</f>
        <v>32.746250000000003</v>
      </c>
      <c r="G45" s="19">
        <f>((((($G$47*$G$48)/1000)*7)-$G$40)/4)</f>
        <v>49.199249999999999</v>
      </c>
      <c r="H45" s="20">
        <f>((((($H$47*$H$48)/1000)*7)-$H$40)/4)</f>
        <v>32.774499999999996</v>
      </c>
      <c r="I45" s="127">
        <f t="shared" si="6"/>
        <v>276.32825000000003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20.573</v>
      </c>
      <c r="R45" s="208">
        <f>((((($R$47*$R$48)/1000)*7)-$R$40)/4)</f>
        <v>14.022000000000002</v>
      </c>
      <c r="S45" s="209">
        <f>((((($S$47*$S$48)/1000)*7)-$S$40)/4)</f>
        <v>13.326000000000001</v>
      </c>
      <c r="T45" s="127">
        <f t="shared" si="7"/>
        <v>47.920999999999999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130.41</v>
      </c>
      <c r="C46" s="22">
        <f t="shared" si="8"/>
        <v>216.73400000000004</v>
      </c>
      <c r="D46" s="22">
        <f t="shared" si="8"/>
        <v>292.54050000000001</v>
      </c>
      <c r="E46" s="22">
        <f t="shared" si="8"/>
        <v>159.84850000000003</v>
      </c>
      <c r="F46" s="22">
        <f t="shared" si="8"/>
        <v>162.08500000000001</v>
      </c>
      <c r="G46" s="22">
        <f t="shared" si="8"/>
        <v>243.39700000000002</v>
      </c>
      <c r="H46" s="153">
        <f t="shared" si="8"/>
        <v>162.49799999999996</v>
      </c>
      <c r="I46" s="127">
        <f t="shared" si="6"/>
        <v>1367.5130000000001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102.59200000000001</v>
      </c>
      <c r="R46" s="201">
        <f>SUM(R39:R45)</f>
        <v>69.888000000000019</v>
      </c>
      <c r="S46" s="201">
        <f>SUM(S39:S45)</f>
        <v>66.304000000000002</v>
      </c>
      <c r="T46" s="77">
        <f t="shared" si="7"/>
        <v>238.78400000000002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57.5</v>
      </c>
      <c r="C47" s="24">
        <v>56.5</v>
      </c>
      <c r="D47" s="24">
        <v>55.5</v>
      </c>
      <c r="E47" s="24">
        <v>54.5</v>
      </c>
      <c r="F47" s="24">
        <v>55</v>
      </c>
      <c r="G47" s="24">
        <v>54.5</v>
      </c>
      <c r="H47" s="25">
        <v>53</v>
      </c>
      <c r="I47" s="128">
        <f>+((I46/I48)/7)*1000</f>
        <v>55.170573284382947</v>
      </c>
      <c r="J47" s="42"/>
      <c r="K47" s="50"/>
      <c r="L47" s="49"/>
      <c r="M47" s="49"/>
      <c r="N47" s="49"/>
      <c r="P47" s="93" t="s">
        <v>11</v>
      </c>
      <c r="Q47" s="63">
        <v>64</v>
      </c>
      <c r="R47" s="24">
        <v>64</v>
      </c>
      <c r="S47" s="24">
        <v>64</v>
      </c>
      <c r="T47" s="78">
        <f>+((T46/T48)/7)*1000</f>
        <v>64.000000000000014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753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3541</v>
      </c>
      <c r="J48" s="42"/>
      <c r="K48" s="191"/>
      <c r="L48" s="49"/>
      <c r="M48" s="49"/>
      <c r="N48" s="49"/>
      <c r="O48" s="51"/>
      <c r="P48" s="71" t="s">
        <v>12</v>
      </c>
      <c r="Q48" s="79">
        <v>229</v>
      </c>
      <c r="R48" s="79">
        <v>156</v>
      </c>
      <c r="S48" s="79">
        <v>148</v>
      </c>
      <c r="T48" s="82">
        <f>SUM(O48:S48)</f>
        <v>533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18.63</v>
      </c>
      <c r="C49" s="31">
        <f t="shared" si="9"/>
        <v>30.962</v>
      </c>
      <c r="D49" s="31">
        <f t="shared" si="9"/>
        <v>41.791499999999999</v>
      </c>
      <c r="E49" s="31">
        <f t="shared" si="9"/>
        <v>22.8355</v>
      </c>
      <c r="F49" s="31">
        <f t="shared" si="9"/>
        <v>23.155000000000001</v>
      </c>
      <c r="G49" s="31">
        <f t="shared" si="9"/>
        <v>34.771000000000001</v>
      </c>
      <c r="H49" s="32">
        <f t="shared" si="9"/>
        <v>23.213999999999999</v>
      </c>
      <c r="I49" s="130">
        <f>((I46*1000)/I48)/7</f>
        <v>55.170573284382954</v>
      </c>
      <c r="J49" s="192"/>
      <c r="K49" s="192"/>
      <c r="L49" s="49"/>
      <c r="M49" s="49"/>
      <c r="N49" s="49"/>
      <c r="P49" s="72" t="s">
        <v>13</v>
      </c>
      <c r="Q49" s="65">
        <f>(Q48*Q47)/1000</f>
        <v>14.656000000000001</v>
      </c>
      <c r="R49" s="31">
        <f>(R48*R47)/1000</f>
        <v>9.984</v>
      </c>
      <c r="S49" s="31">
        <f>(S48*S47)/1000</f>
        <v>9.4719999999999995</v>
      </c>
      <c r="T49" s="83">
        <f>((T46*1000)/T48)/7</f>
        <v>64.000000000000014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130.41</v>
      </c>
      <c r="C50" s="35">
        <f t="shared" si="10"/>
        <v>216.73400000000001</v>
      </c>
      <c r="D50" s="35">
        <f t="shared" si="10"/>
        <v>292.54050000000001</v>
      </c>
      <c r="E50" s="35">
        <f t="shared" si="10"/>
        <v>159.8485</v>
      </c>
      <c r="F50" s="35">
        <f t="shared" si="10"/>
        <v>162.08500000000001</v>
      </c>
      <c r="G50" s="35">
        <f t="shared" si="10"/>
        <v>243.39699999999999</v>
      </c>
      <c r="H50" s="68">
        <f t="shared" si="10"/>
        <v>162.49799999999999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102.592</v>
      </c>
      <c r="R50" s="35">
        <f>((R48*R47)*7)/1000</f>
        <v>69.888000000000005</v>
      </c>
      <c r="S50" s="35">
        <f>((S48*S47)*7)/1000</f>
        <v>66.304000000000002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57.499999999999993</v>
      </c>
      <c r="C51" s="38">
        <f t="shared" si="11"/>
        <v>56.500000000000007</v>
      </c>
      <c r="D51" s="38">
        <f t="shared" si="11"/>
        <v>55.5</v>
      </c>
      <c r="E51" s="38">
        <f t="shared" si="11"/>
        <v>54.500000000000007</v>
      </c>
      <c r="F51" s="38">
        <f t="shared" si="11"/>
        <v>55</v>
      </c>
      <c r="G51" s="38">
        <f t="shared" si="11"/>
        <v>54.5</v>
      </c>
      <c r="H51" s="39">
        <f t="shared" si="11"/>
        <v>52.999999999999993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64.000000000000014</v>
      </c>
      <c r="R51" s="38">
        <f>+(R46/R48)/7*1000</f>
        <v>64.000000000000014</v>
      </c>
      <c r="S51" s="38">
        <f>+(S46/S48)/7*1000</f>
        <v>64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8"/>
      <c r="P54" s="1018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6" t="s">
        <v>17</v>
      </c>
      <c r="C55" s="1016"/>
      <c r="D55" s="1016"/>
      <c r="E55" s="1016"/>
      <c r="F55" s="1017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28.7</v>
      </c>
      <c r="C59" s="61">
        <v>34.200000000000003</v>
      </c>
      <c r="D59" s="61">
        <v>39.799999999999997</v>
      </c>
      <c r="E59" s="61">
        <v>30.9</v>
      </c>
      <c r="F59" s="61">
        <v>39.200000000000003</v>
      </c>
      <c r="G59" s="77">
        <f t="shared" si="12"/>
        <v>172.8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29.590749999999996</v>
      </c>
      <c r="C60" s="61">
        <f>((((($C$66*$C$67)/1000)*7)-$C$59)/4)</f>
        <v>35.494875000000008</v>
      </c>
      <c r="D60" s="61">
        <f>((((($D$66*$D$67)/1000)*7)-$D$59)/4)</f>
        <v>41.127250000000004</v>
      </c>
      <c r="E60" s="61">
        <f>((((($E$66*$E$67)/1000)*7)-$E$59)/4)</f>
        <v>31.631625</v>
      </c>
      <c r="F60" s="61">
        <f>((((($F$66*$F$67)/1000)*7)-$F$59)/4)</f>
        <v>40.413624999999996</v>
      </c>
      <c r="G60" s="77">
        <f t="shared" si="12"/>
        <v>178.25812500000001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29.590749999999996</v>
      </c>
      <c r="C61" s="61">
        <f>((((($C$66*$C$67)/1000)*7)-$C$59)/4)</f>
        <v>35.494875000000008</v>
      </c>
      <c r="D61" s="61">
        <f>((((($D$66*$D$67)/1000)*7)-$D$59)/4)</f>
        <v>41.127250000000004</v>
      </c>
      <c r="E61" s="61">
        <f>((((($E$66*$E$67)/1000)*7)-$E$59)/4)</f>
        <v>31.631625</v>
      </c>
      <c r="F61" s="61">
        <f>((((($F$66*$F$67)/1000)*7)-$F$59)/4)</f>
        <v>40.413624999999996</v>
      </c>
      <c r="G61" s="77">
        <f t="shared" si="12"/>
        <v>178.25812500000001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29.590749999999996</v>
      </c>
      <c r="C63" s="61">
        <f>((((($C$66*$C$67)/1000)*7)-$C$59)/4)</f>
        <v>35.494875000000008</v>
      </c>
      <c r="D63" s="61">
        <f>((((($D$66*$D$67)/1000)*7)-$D$59)/4)</f>
        <v>41.127250000000004</v>
      </c>
      <c r="E63" s="61">
        <f>((((($E$66*$E$67)/1000)*7)-$E$59)/4)</f>
        <v>31.631625</v>
      </c>
      <c r="F63" s="61">
        <f>((((($F$66*$F$67)/1000)*7)-$F$59)/4)</f>
        <v>40.413624999999996</v>
      </c>
      <c r="G63" s="77">
        <f t="shared" si="12"/>
        <v>178.25812500000001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29.590749999999996</v>
      </c>
      <c r="C64" s="61">
        <f>((((($C$66*$C$67)/1000)*7)-$C$59)/4)</f>
        <v>35.494875000000008</v>
      </c>
      <c r="D64" s="61">
        <f>((((($D$66*$D$67)/1000)*7)-$D$59)/4)</f>
        <v>41.127250000000004</v>
      </c>
      <c r="E64" s="61">
        <f>((((($E$66*$E$67)/1000)*7)-$E$59)/4)</f>
        <v>31.631625</v>
      </c>
      <c r="F64" s="61">
        <f>((((($F$66*$F$67)/1000)*7)-$F$59)/4)</f>
        <v>40.413624999999996</v>
      </c>
      <c r="G64" s="77">
        <f t="shared" si="12"/>
        <v>178.25812500000001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147.06299999999999</v>
      </c>
      <c r="C65" s="22">
        <f>SUM(C58:C64)</f>
        <v>176.17950000000005</v>
      </c>
      <c r="D65" s="22">
        <f>SUM(D58:D64)</f>
        <v>204.30900000000003</v>
      </c>
      <c r="E65" s="22">
        <f>SUM(E58:E64)</f>
        <v>157.4265</v>
      </c>
      <c r="F65" s="22">
        <f>SUM(F58:F64)</f>
        <v>200.8545</v>
      </c>
      <c r="G65" s="77">
        <f t="shared" si="12"/>
        <v>885.8325000000001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70.5</v>
      </c>
      <c r="C66" s="24">
        <v>70.5</v>
      </c>
      <c r="D66" s="24">
        <v>70.5</v>
      </c>
      <c r="E66" s="24">
        <v>70.5</v>
      </c>
      <c r="F66" s="24">
        <v>70.5</v>
      </c>
      <c r="G66" s="78">
        <f>+((G65/G67)/7)*1000</f>
        <v>70.5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319</v>
      </c>
      <c r="F67" s="79">
        <v>407</v>
      </c>
      <c r="G67" s="82">
        <f>SUM(B67:F67)</f>
        <v>1795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21.009</v>
      </c>
      <c r="C68" s="31">
        <f>(C67*C66)/1000</f>
        <v>25.168500000000002</v>
      </c>
      <c r="D68" s="31">
        <f>(D67*D66)/1000</f>
        <v>29.187000000000001</v>
      </c>
      <c r="E68" s="31">
        <f>(E67*E66)/1000</f>
        <v>22.4895</v>
      </c>
      <c r="F68" s="31">
        <f>(F67*F66)/1000</f>
        <v>28.6935</v>
      </c>
      <c r="G68" s="86">
        <f>((G65*1000)/G67)/7</f>
        <v>70.500000000000014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147.06299999999999</v>
      </c>
      <c r="C69" s="35">
        <f>((C67*C66)*7)/1000</f>
        <v>176.17949999999999</v>
      </c>
      <c r="D69" s="35">
        <f>((D67*D66)*7)/1000</f>
        <v>204.309</v>
      </c>
      <c r="E69" s="35">
        <f>((E67*E66)*7)/1000</f>
        <v>157.4265</v>
      </c>
      <c r="F69" s="35">
        <f>((F67*F66)*7)/1000</f>
        <v>200.8545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70.5</v>
      </c>
      <c r="C70" s="38">
        <f>+(C65/C67)/7*1000</f>
        <v>70.500000000000014</v>
      </c>
      <c r="D70" s="38">
        <f>+(D65/D67)/7*1000</f>
        <v>70.5</v>
      </c>
      <c r="E70" s="38">
        <f>+(E65/E67)/7*1000</f>
        <v>70.5</v>
      </c>
      <c r="F70" s="38">
        <f>+(F65/F67)/7*1000</f>
        <v>70.5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T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1:AI239"/>
  <sheetViews>
    <sheetView topLeftCell="A9" zoomScale="30" zoomScaleNormal="30" workbookViewId="0">
      <selection activeCell="K32" sqref="K3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61</v>
      </c>
      <c r="Q11" s="1022"/>
      <c r="R11" s="6"/>
      <c r="S11" s="6"/>
      <c r="T11" s="1"/>
      <c r="U11" s="1"/>
      <c r="V11" s="1" t="s">
        <v>6</v>
      </c>
      <c r="W11" s="95">
        <v>45441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9"/>
      <c r="L15" s="1038" t="s">
        <v>63</v>
      </c>
      <c r="M15" s="1028"/>
      <c r="N15" s="1028"/>
      <c r="O15" s="1029"/>
      <c r="P15" s="1038" t="s">
        <v>8</v>
      </c>
      <c r="Q15" s="1028"/>
      <c r="R15" s="1028"/>
      <c r="S15" s="1028"/>
      <c r="T15" s="1028"/>
      <c r="U15" s="1028"/>
      <c r="V15" s="1028"/>
      <c r="W15" s="1028"/>
      <c r="X15" s="9"/>
      <c r="Y15" s="193"/>
    </row>
    <row r="16" spans="1:35" ht="39.950000000000003" customHeight="1" thickBot="1" x14ac:dyDescent="0.3">
      <c r="A16" s="180" t="s">
        <v>34</v>
      </c>
      <c r="B16" s="169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70">
        <v>5</v>
      </c>
      <c r="L16" s="169"/>
      <c r="M16" s="162"/>
      <c r="N16" s="162"/>
      <c r="O16" s="171"/>
      <c r="P16" s="173">
        <v>1</v>
      </c>
      <c r="Q16" s="162">
        <v>2</v>
      </c>
      <c r="R16" s="173">
        <v>3</v>
      </c>
      <c r="S16" s="162">
        <v>4</v>
      </c>
      <c r="T16" s="173">
        <v>5</v>
      </c>
      <c r="U16" s="162">
        <v>6</v>
      </c>
      <c r="V16" s="173">
        <v>7</v>
      </c>
      <c r="W16" s="171">
        <v>8</v>
      </c>
      <c r="X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4">
        <v>3</v>
      </c>
      <c r="O17" s="185">
        <v>4</v>
      </c>
      <c r="P17" s="173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62">
        <v>7</v>
      </c>
      <c r="W17" s="171">
        <v>8</v>
      </c>
      <c r="X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41"/>
      <c r="L18" s="124"/>
      <c r="M18" s="125"/>
      <c r="N18" s="125"/>
      <c r="O18" s="141"/>
      <c r="P18" s="124"/>
      <c r="Q18" s="125"/>
      <c r="R18" s="125"/>
      <c r="S18" s="125"/>
      <c r="T18" s="125"/>
      <c r="U18" s="125"/>
      <c r="V18" s="125"/>
      <c r="W18" s="141"/>
      <c r="X18" s="264">
        <f t="shared" ref="X18:X24" si="0">SUM(B18:W18)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40.799999999999997</v>
      </c>
      <c r="C19" s="19">
        <v>33.299999999999997</v>
      </c>
      <c r="D19" s="19">
        <v>33.200000000000003</v>
      </c>
      <c r="E19" s="19">
        <v>35.6</v>
      </c>
      <c r="F19" s="19">
        <v>35.9</v>
      </c>
      <c r="G19" s="19">
        <v>36.299999999999997</v>
      </c>
      <c r="H19" s="19">
        <v>38.200000000000003</v>
      </c>
      <c r="I19" s="19">
        <v>39.700000000000003</v>
      </c>
      <c r="J19" s="19">
        <v>32.1</v>
      </c>
      <c r="K19" s="20">
        <v>31.9</v>
      </c>
      <c r="L19" s="18">
        <v>14.8</v>
      </c>
      <c r="M19" s="19">
        <v>34.4</v>
      </c>
      <c r="N19" s="19">
        <v>45</v>
      </c>
      <c r="O19" s="20">
        <v>29.2</v>
      </c>
      <c r="P19" s="18">
        <v>19</v>
      </c>
      <c r="Q19" s="19">
        <v>54.6</v>
      </c>
      <c r="R19" s="19">
        <v>40.200000000000003</v>
      </c>
      <c r="S19" s="19">
        <v>39.799999999999997</v>
      </c>
      <c r="T19" s="19">
        <v>57</v>
      </c>
      <c r="U19" s="19">
        <v>54.7</v>
      </c>
      <c r="V19" s="19">
        <v>43.6</v>
      </c>
      <c r="W19" s="20">
        <v>31.2</v>
      </c>
      <c r="X19" s="264">
        <f t="shared" si="0"/>
        <v>820.50000000000011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v>19</v>
      </c>
      <c r="C20" s="19">
        <v>35.9</v>
      </c>
      <c r="D20" s="19">
        <v>45.3</v>
      </c>
      <c r="E20" s="19">
        <v>34.700000000000003</v>
      </c>
      <c r="F20" s="19">
        <v>26.3</v>
      </c>
      <c r="G20" s="19">
        <v>18.600000000000001</v>
      </c>
      <c r="H20" s="19">
        <v>44.4</v>
      </c>
      <c r="I20" s="19">
        <v>51.8</v>
      </c>
      <c r="J20" s="19">
        <v>33</v>
      </c>
      <c r="K20" s="20">
        <v>14.5</v>
      </c>
      <c r="L20" s="18">
        <v>15.3</v>
      </c>
      <c r="M20" s="19">
        <v>36.200000000000003</v>
      </c>
      <c r="N20" s="19">
        <v>47.7</v>
      </c>
      <c r="O20" s="20">
        <v>30.9</v>
      </c>
      <c r="P20" s="18">
        <v>30.9</v>
      </c>
      <c r="Q20" s="19">
        <v>44.1</v>
      </c>
      <c r="R20" s="19">
        <v>46.9</v>
      </c>
      <c r="S20" s="19">
        <v>39.4</v>
      </c>
      <c r="T20" s="19">
        <v>23.6</v>
      </c>
      <c r="U20" s="19">
        <v>59.5</v>
      </c>
      <c r="V20" s="19">
        <v>73.099999999999994</v>
      </c>
      <c r="W20" s="20">
        <v>38.6</v>
      </c>
      <c r="X20" s="264">
        <f t="shared" si="0"/>
        <v>809.69999999999993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v>18.97625</v>
      </c>
      <c r="C21" s="19">
        <v>35.921875</v>
      </c>
      <c r="D21" s="19">
        <v>45.300000000000004</v>
      </c>
      <c r="E21" s="19">
        <v>34.65</v>
      </c>
      <c r="F21" s="19">
        <v>26.265000000000001</v>
      </c>
      <c r="G21" s="19">
        <v>18.59</v>
      </c>
      <c r="H21" s="19">
        <v>44.433749999999996</v>
      </c>
      <c r="I21" s="19">
        <v>51.825625000000002</v>
      </c>
      <c r="J21" s="19">
        <v>33.041249999999998</v>
      </c>
      <c r="K21" s="20">
        <v>14.489374999999999</v>
      </c>
      <c r="L21" s="18">
        <f>((((($L$26*$L$27)/1000)*4)/3))</f>
        <v>36.292666666666669</v>
      </c>
      <c r="M21" s="19">
        <f>((((($M$26*$M$27)/1000)*4)/3))</f>
        <v>61.478666666666669</v>
      </c>
      <c r="N21" s="19">
        <f>((((($N$26*$N$27)/1000)*4)/3))</f>
        <v>24.826666666666668</v>
      </c>
      <c r="O21" s="20"/>
      <c r="P21" s="18">
        <v>30.9</v>
      </c>
      <c r="Q21" s="19">
        <v>44.1</v>
      </c>
      <c r="R21" s="19">
        <v>46.9</v>
      </c>
      <c r="S21" s="19">
        <v>39.4</v>
      </c>
      <c r="T21" s="19">
        <v>23.6</v>
      </c>
      <c r="U21" s="19">
        <v>59.5</v>
      </c>
      <c r="V21" s="19">
        <v>73.099999999999994</v>
      </c>
      <c r="W21" s="20">
        <v>38.6</v>
      </c>
      <c r="X21" s="264">
        <f t="shared" si="0"/>
        <v>802.19112499999994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20"/>
      <c r="L22" s="18"/>
      <c r="M22" s="19"/>
      <c r="N22" s="19"/>
      <c r="O22" s="20"/>
      <c r="P22" s="18"/>
      <c r="Q22" s="19"/>
      <c r="R22" s="19"/>
      <c r="S22" s="19"/>
      <c r="T22" s="19"/>
      <c r="U22" s="19"/>
      <c r="V22" s="19"/>
      <c r="W22" s="20"/>
      <c r="X22" s="264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((((($B$26*$B$27)/1000)*5)-$B$20-$B$21)/2)</f>
        <v>20.983124999999998</v>
      </c>
      <c r="C23" s="19">
        <f>((((($C$26*$C$27)/1000)*5)-$C$20-$C$21)/2)</f>
        <v>38.957812500000003</v>
      </c>
      <c r="D23" s="19">
        <f>((((($D$26*$D$27)/1000)*5)-$D$20-$D$21)/2)</f>
        <v>49.074999999999989</v>
      </c>
      <c r="E23" s="19">
        <f>((((($E$26*$E$27)/1000)*5)-$E$20-$E$21)/2)</f>
        <v>35.325000000000003</v>
      </c>
      <c r="F23" s="19">
        <f>((((($F$26*$F$27)/1000)*5)-$F$20-$F$21)/2)</f>
        <v>26.762500000000003</v>
      </c>
      <c r="G23" s="19">
        <f>((((($G$26*$G$27)/1000)*5)-$G$20-$G$21)/2)</f>
        <v>18.585000000000001</v>
      </c>
      <c r="H23" s="19">
        <f>((((($H$26*$H$27)/1000)*5)-$H$20-$H$21)/2)</f>
        <v>45.321874999999991</v>
      </c>
      <c r="I23" s="19">
        <f>((((($I$26*$I$27)/1000)*5)-$I$20-$I$21)/2)</f>
        <v>52.864687500000002</v>
      </c>
      <c r="J23" s="19">
        <f>((((($J$26*$J$27)/1000)*5)-$J$20-$J$21)/2)</f>
        <v>35.064375000000013</v>
      </c>
      <c r="K23" s="20">
        <f>((((($K$26*$K$27)/1000)*5)-$K$20-$K$21)/2)</f>
        <v>15.679062499999999</v>
      </c>
      <c r="L23" s="18">
        <f>((((($L$26*$L$27)/1000)*4)/3))</f>
        <v>36.292666666666669</v>
      </c>
      <c r="M23" s="19">
        <f>((((($M$26*$M$27)/1000)*4)/3))</f>
        <v>61.478666666666669</v>
      </c>
      <c r="N23" s="19">
        <f>((((($N$26*$N$27)/1000)*4)/3))</f>
        <v>24.826666666666668</v>
      </c>
      <c r="O23" s="20"/>
      <c r="P23" s="18">
        <f>((((($P$26*$P$27)/1000)*3)/2))</f>
        <v>28.625999999999998</v>
      </c>
      <c r="Q23" s="19">
        <f>((((($Q$26*$Q$27)/1000)*3)/2))</f>
        <v>47.722500000000004</v>
      </c>
      <c r="R23" s="19">
        <f>((((($R$26*$R$27)/1000)*7)-$R$19)/4)</f>
        <v>46.898499999999999</v>
      </c>
      <c r="S23" s="19">
        <f>((((($S$26*$S$27)/1000)*3)/2))</f>
        <v>43.89</v>
      </c>
      <c r="T23" s="19">
        <f>((((($T$26*$T$27)/1000)*3)/2))</f>
        <v>33.071999999999996</v>
      </c>
      <c r="U23" s="19">
        <f>((((($U$26*$U$27)/1000)*3)/2))</f>
        <v>63.314999999999998</v>
      </c>
      <c r="V23" s="19">
        <f>((((($V$26*$V$27)/1000)*3)/2))</f>
        <v>74.793000000000006</v>
      </c>
      <c r="W23" s="20">
        <f>((((($W$26*$W$27)/1000)*3)/2))</f>
        <v>42.131249999999994</v>
      </c>
      <c r="X23" s="264">
        <f t="shared" si="0"/>
        <v>841.66468750000013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26">
        <f>((((($B$26*$B$27)/1000)*5)-$B$20-$B$21)/2)</f>
        <v>20.983124999999998</v>
      </c>
      <c r="C24" s="227">
        <f>((((($C$26*$C$27)/1000)*5)-$C$20-$C$21)/2)</f>
        <v>38.957812500000003</v>
      </c>
      <c r="D24" s="227">
        <f>((((($D$26*$D$27)/1000)*5)-$D$20-$D$21)/2)</f>
        <v>49.074999999999989</v>
      </c>
      <c r="E24" s="227">
        <f>((((($E$26*$E$27)/1000)*5)-$E$20-$E$21)/2)</f>
        <v>35.325000000000003</v>
      </c>
      <c r="F24" s="227">
        <f>((((($F$26*$F$27)/1000)*5)-$F$20-$F$21)/2)</f>
        <v>26.762500000000003</v>
      </c>
      <c r="G24" s="227">
        <f>((((($G$26*$G$27)/1000)*5)/4))</f>
        <v>18.59</v>
      </c>
      <c r="H24" s="227">
        <f>((((($H$26*$H$27)/1000)*5)-$H$20-$H$21)/2)</f>
        <v>45.321874999999991</v>
      </c>
      <c r="I24" s="227">
        <f>((((($I$26*$I$27)/1000)*5)-$I$20-$I$21)/2)</f>
        <v>52.864687500000002</v>
      </c>
      <c r="J24" s="227">
        <f>((((($J$26*$J$27)/1000)*5)-$J$20-$J$21)/2)</f>
        <v>35.064375000000013</v>
      </c>
      <c r="K24" s="228">
        <f>((((($K$26*$K$27)/1000)*5)-$K$20-$K$21)/2)</f>
        <v>15.679062499999999</v>
      </c>
      <c r="L24" s="226">
        <f>((((($L$26*$L$27)/1000)*4)/3))</f>
        <v>36.292666666666669</v>
      </c>
      <c r="M24" s="227">
        <f>((((($M$26*$M$27)/1000)*4)/3))</f>
        <v>61.478666666666669</v>
      </c>
      <c r="N24" s="227">
        <f>((((($N$26*$N$27)/1000)*4)/3))</f>
        <v>24.826666666666668</v>
      </c>
      <c r="O24" s="228"/>
      <c r="P24" s="226">
        <v>28.6</v>
      </c>
      <c r="Q24" s="227">
        <f>((((($Q$26*$Q$27)/1000)*3)/2))</f>
        <v>47.722500000000004</v>
      </c>
      <c r="R24" s="227">
        <f>((((($R$26*$R$27)/1000)*7)-$R$19)/4)</f>
        <v>46.898499999999999</v>
      </c>
      <c r="S24" s="227">
        <f>((((($S$26*$S$27)/1000)*3)/2))</f>
        <v>43.89</v>
      </c>
      <c r="T24" s="227">
        <f>((((($T$26*$T$27)/1000)*3)/2))</f>
        <v>33.071999999999996</v>
      </c>
      <c r="U24" s="227">
        <f>((((($U$26*$U$27)/1000)*3)/2))</f>
        <v>63.314999999999998</v>
      </c>
      <c r="V24" s="227">
        <f>((((($V$26*$V$27)/1000)*3)/2))</f>
        <v>74.793000000000006</v>
      </c>
      <c r="W24" s="228">
        <f>((((($W$26*$W$27)/1000)*3)/2))</f>
        <v>42.131249999999994</v>
      </c>
      <c r="X24" s="265">
        <f t="shared" si="0"/>
        <v>841.64368750000017</v>
      </c>
      <c r="Y24" s="42"/>
      <c r="AA24" s="2"/>
    </row>
    <row r="25" spans="1:35" ht="41.45" customHeight="1" x14ac:dyDescent="0.25">
      <c r="A25" s="182" t="s">
        <v>9</v>
      </c>
      <c r="B25" s="225">
        <f t="shared" ref="B25:I25" si="1">SUM(B20:B24)</f>
        <v>79.942499999999995</v>
      </c>
      <c r="C25" s="201">
        <f t="shared" si="1"/>
        <v>149.73750000000001</v>
      </c>
      <c r="D25" s="201">
        <f t="shared" si="1"/>
        <v>188.74999999999997</v>
      </c>
      <c r="E25" s="201">
        <f t="shared" si="1"/>
        <v>140</v>
      </c>
      <c r="F25" s="201">
        <f t="shared" si="1"/>
        <v>106.09</v>
      </c>
      <c r="G25" s="201">
        <f t="shared" si="1"/>
        <v>74.364999999999995</v>
      </c>
      <c r="H25" s="201">
        <f t="shared" si="1"/>
        <v>179.47749999999996</v>
      </c>
      <c r="I25" s="201">
        <f t="shared" si="1"/>
        <v>209.35500000000002</v>
      </c>
      <c r="J25" s="201">
        <f t="shared" ref="J25:X25" si="2">SUM(J18:J24)</f>
        <v>168.27</v>
      </c>
      <c r="K25" s="229">
        <f>SUM(K20:K24)</f>
        <v>60.347499999999997</v>
      </c>
      <c r="L25" s="225">
        <f>SUM(L21:L24)</f>
        <v>108.87800000000001</v>
      </c>
      <c r="M25" s="201">
        <f>SUM(M21:M24)</f>
        <v>184.43600000000001</v>
      </c>
      <c r="N25" s="201">
        <f>SUM(N21:N24)</f>
        <v>74.48</v>
      </c>
      <c r="O25" s="201"/>
      <c r="P25" s="200">
        <f t="shared" si="2"/>
        <v>138.02599999999998</v>
      </c>
      <c r="Q25" s="201">
        <f t="shared" si="2"/>
        <v>238.245</v>
      </c>
      <c r="R25" s="201">
        <f t="shared" si="2"/>
        <v>227.79700000000003</v>
      </c>
      <c r="S25" s="201">
        <f t="shared" si="2"/>
        <v>206.38</v>
      </c>
      <c r="T25" s="167">
        <f t="shared" si="2"/>
        <v>170.34399999999999</v>
      </c>
      <c r="U25" s="230">
        <f t="shared" si="2"/>
        <v>300.33</v>
      </c>
      <c r="V25" s="230">
        <f t="shared" si="2"/>
        <v>339.38599999999997</v>
      </c>
      <c r="W25" s="231">
        <f t="shared" si="2"/>
        <v>192.66249999999999</v>
      </c>
      <c r="X25" s="263">
        <f t="shared" si="2"/>
        <v>4115.6995000000006</v>
      </c>
      <c r="Y25" s="42"/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50</v>
      </c>
      <c r="E26" s="24">
        <v>50</v>
      </c>
      <c r="F26" s="24">
        <v>51.5</v>
      </c>
      <c r="G26" s="24">
        <v>52</v>
      </c>
      <c r="H26" s="24">
        <v>51.5</v>
      </c>
      <c r="I26" s="24">
        <v>51</v>
      </c>
      <c r="J26" s="24">
        <v>51</v>
      </c>
      <c r="K26" s="155">
        <v>50.5</v>
      </c>
      <c r="L26" s="23">
        <v>50.5</v>
      </c>
      <c r="M26" s="24">
        <v>49</v>
      </c>
      <c r="N26" s="24">
        <v>47.5</v>
      </c>
      <c r="O26" s="25"/>
      <c r="P26" s="63">
        <v>52</v>
      </c>
      <c r="Q26" s="24">
        <v>52.5</v>
      </c>
      <c r="R26" s="24">
        <v>53</v>
      </c>
      <c r="S26" s="24">
        <v>55</v>
      </c>
      <c r="T26" s="24">
        <v>53</v>
      </c>
      <c r="U26" s="24">
        <v>52.5</v>
      </c>
      <c r="V26" s="24">
        <v>53.5</v>
      </c>
      <c r="W26" s="25">
        <v>53.5</v>
      </c>
      <c r="X26" s="99">
        <f>((X25/X27)/7)*1000</f>
        <v>49.408157262905164</v>
      </c>
    </row>
    <row r="27" spans="1:35" s="2" customFormat="1" ht="33" customHeight="1" x14ac:dyDescent="0.25">
      <c r="A27" s="149" t="s">
        <v>12</v>
      </c>
      <c r="B27" s="26">
        <v>323</v>
      </c>
      <c r="C27" s="27">
        <v>605</v>
      </c>
      <c r="D27" s="27">
        <v>755</v>
      </c>
      <c r="E27" s="27">
        <v>560</v>
      </c>
      <c r="F27" s="27">
        <v>412</v>
      </c>
      <c r="G27" s="27">
        <v>286</v>
      </c>
      <c r="H27" s="27">
        <v>697</v>
      </c>
      <c r="I27" s="27">
        <v>821</v>
      </c>
      <c r="J27" s="27">
        <v>534</v>
      </c>
      <c r="K27" s="156">
        <v>239</v>
      </c>
      <c r="L27" s="26">
        <v>539</v>
      </c>
      <c r="M27" s="27">
        <v>941</v>
      </c>
      <c r="N27" s="27">
        <v>392</v>
      </c>
      <c r="O27" s="28"/>
      <c r="P27" s="64">
        <v>367</v>
      </c>
      <c r="Q27" s="27">
        <v>606</v>
      </c>
      <c r="R27" s="27">
        <v>614</v>
      </c>
      <c r="S27" s="27">
        <v>532</v>
      </c>
      <c r="T27" s="27">
        <v>416</v>
      </c>
      <c r="U27" s="27">
        <v>804</v>
      </c>
      <c r="V27" s="27">
        <v>932</v>
      </c>
      <c r="W27" s="28">
        <v>525</v>
      </c>
      <c r="X27" s="29">
        <f>SUM(B27,C27,D27,E27,F27,G27,H27,I27,J27,K27,L27,M27,N27,O27,P27,Q27,R27,S27,T27,U27,V27,W27)</f>
        <v>11900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15.9885</v>
      </c>
      <c r="C28" s="31">
        <f>(C27*C26)/1000</f>
        <v>29.947500000000002</v>
      </c>
      <c r="D28" s="31">
        <f>(D27*D26)/1000</f>
        <v>37.75</v>
      </c>
      <c r="E28" s="31">
        <f>(E27*E26)/1000</f>
        <v>28</v>
      </c>
      <c r="F28" s="31">
        <f>(F27*F26)/1000</f>
        <v>21.218</v>
      </c>
      <c r="G28" s="31">
        <f t="shared" ref="G28:N28" si="3">(G27*G26)/1000</f>
        <v>14.872</v>
      </c>
      <c r="H28" s="31">
        <f t="shared" si="3"/>
        <v>35.895499999999998</v>
      </c>
      <c r="I28" s="31">
        <f t="shared" si="3"/>
        <v>41.871000000000002</v>
      </c>
      <c r="J28" s="31">
        <f t="shared" si="3"/>
        <v>27.234000000000002</v>
      </c>
      <c r="K28" s="142">
        <f t="shared" si="3"/>
        <v>12.0695</v>
      </c>
      <c r="L28" s="30">
        <f t="shared" si="3"/>
        <v>27.2195</v>
      </c>
      <c r="M28" s="31">
        <f t="shared" si="3"/>
        <v>46.109000000000002</v>
      </c>
      <c r="N28" s="31">
        <f t="shared" si="3"/>
        <v>18.62</v>
      </c>
      <c r="O28" s="32"/>
      <c r="P28" s="65">
        <f t="shared" ref="P28:W28" si="4">(P27*P26)/1000</f>
        <v>19.084</v>
      </c>
      <c r="Q28" s="31">
        <f t="shared" si="4"/>
        <v>31.815000000000001</v>
      </c>
      <c r="R28" s="31">
        <f t="shared" si="4"/>
        <v>32.542000000000002</v>
      </c>
      <c r="S28" s="31">
        <f t="shared" si="4"/>
        <v>29.26</v>
      </c>
      <c r="T28" s="31">
        <f t="shared" si="4"/>
        <v>22.047999999999998</v>
      </c>
      <c r="U28" s="31">
        <f t="shared" si="4"/>
        <v>42.21</v>
      </c>
      <c r="V28" s="31">
        <f t="shared" si="4"/>
        <v>49.862000000000002</v>
      </c>
      <c r="W28" s="32">
        <f t="shared" si="4"/>
        <v>28.087499999999999</v>
      </c>
      <c r="X28" s="33">
        <f>((X25*1000)/7)/X27</f>
        <v>49.408157262905164</v>
      </c>
      <c r="Y28" s="43"/>
    </row>
    <row r="29" spans="1:35" ht="33.75" customHeight="1" x14ac:dyDescent="0.25">
      <c r="A29" s="151" t="s">
        <v>14</v>
      </c>
      <c r="B29" s="34">
        <f>((B27*B26)*7)/1000</f>
        <v>111.9195</v>
      </c>
      <c r="C29" s="35">
        <f t="shared" ref="C29:N29" si="5">((C27*C26)*6)/1000</f>
        <v>179.685</v>
      </c>
      <c r="D29" s="35">
        <f t="shared" si="5"/>
        <v>226.5</v>
      </c>
      <c r="E29" s="35">
        <f t="shared" si="5"/>
        <v>168</v>
      </c>
      <c r="F29" s="35">
        <f t="shared" si="5"/>
        <v>127.30800000000001</v>
      </c>
      <c r="G29" s="35">
        <f t="shared" si="5"/>
        <v>89.231999999999999</v>
      </c>
      <c r="H29" s="35">
        <f t="shared" si="5"/>
        <v>215.37299999999999</v>
      </c>
      <c r="I29" s="35">
        <f t="shared" si="5"/>
        <v>251.226</v>
      </c>
      <c r="J29" s="35">
        <f t="shared" si="5"/>
        <v>163.404</v>
      </c>
      <c r="K29" s="157">
        <f t="shared" si="5"/>
        <v>72.417000000000002</v>
      </c>
      <c r="L29" s="34">
        <f t="shared" si="5"/>
        <v>163.31700000000001</v>
      </c>
      <c r="M29" s="35">
        <f t="shared" si="5"/>
        <v>276.654</v>
      </c>
      <c r="N29" s="35">
        <f t="shared" si="5"/>
        <v>111.72</v>
      </c>
      <c r="O29" s="68"/>
      <c r="P29" s="66">
        <f t="shared" ref="P29:W29" si="6">((P27*P26)*4)/1000</f>
        <v>76.335999999999999</v>
      </c>
      <c r="Q29" s="35">
        <f t="shared" si="6"/>
        <v>127.26</v>
      </c>
      <c r="R29" s="35">
        <f t="shared" si="6"/>
        <v>130.16800000000001</v>
      </c>
      <c r="S29" s="35">
        <f t="shared" si="6"/>
        <v>117.04</v>
      </c>
      <c r="T29" s="35">
        <f t="shared" si="6"/>
        <v>88.191999999999993</v>
      </c>
      <c r="U29" s="35">
        <f t="shared" si="6"/>
        <v>168.84</v>
      </c>
      <c r="V29" s="35">
        <f t="shared" si="6"/>
        <v>199.44800000000001</v>
      </c>
      <c r="W29" s="68">
        <f t="shared" si="6"/>
        <v>112.35</v>
      </c>
      <c r="X29" s="36"/>
      <c r="Y29" s="41"/>
    </row>
    <row r="30" spans="1:35" ht="33.75" customHeight="1" thickBot="1" x14ac:dyDescent="0.3">
      <c r="A30" s="152" t="s">
        <v>15</v>
      </c>
      <c r="B30" s="37">
        <f t="shared" ref="B30:I30" si="7">+(B25/B27)/5*1000</f>
        <v>49.5</v>
      </c>
      <c r="C30" s="38">
        <f t="shared" si="7"/>
        <v>49.5</v>
      </c>
      <c r="D30" s="38">
        <f t="shared" si="7"/>
        <v>49.999999999999993</v>
      </c>
      <c r="E30" s="38">
        <f t="shared" si="7"/>
        <v>50</v>
      </c>
      <c r="F30" s="38">
        <f t="shared" si="7"/>
        <v>51.500000000000007</v>
      </c>
      <c r="G30" s="38">
        <f t="shared" si="7"/>
        <v>52.003496503496507</v>
      </c>
      <c r="H30" s="38">
        <f t="shared" si="7"/>
        <v>51.499999999999993</v>
      </c>
      <c r="I30" s="38">
        <f t="shared" si="7"/>
        <v>51.000000000000007</v>
      </c>
      <c r="J30" s="38">
        <f>+(J25/J27)/7*1000</f>
        <v>45.016051364365978</v>
      </c>
      <c r="K30" s="158">
        <f>+(K25/K27)/5*1000</f>
        <v>50.5</v>
      </c>
      <c r="L30" s="37">
        <f>+(L25/L27)/4*1000</f>
        <v>50.5</v>
      </c>
      <c r="M30" s="38">
        <f>+(M25/M27)/4*1000</f>
        <v>49</v>
      </c>
      <c r="N30" s="38">
        <f>+(N25/N27)/4*1000</f>
        <v>47.5</v>
      </c>
      <c r="O30" s="38"/>
      <c r="P30" s="67">
        <f t="shared" ref="P30:W30" si="8">+(P25/P27)/7*1000</f>
        <v>53.7275204359673</v>
      </c>
      <c r="Q30" s="38">
        <f t="shared" si="8"/>
        <v>56.163366336633665</v>
      </c>
      <c r="R30" s="38">
        <f t="shared" si="8"/>
        <v>53.000697999069331</v>
      </c>
      <c r="S30" s="38">
        <f t="shared" si="8"/>
        <v>55.418904403866811</v>
      </c>
      <c r="T30" s="38">
        <f t="shared" si="8"/>
        <v>58.497252747252745</v>
      </c>
      <c r="U30" s="38">
        <f t="shared" si="8"/>
        <v>53.363539445628994</v>
      </c>
      <c r="V30" s="38">
        <f t="shared" si="8"/>
        <v>52.021152667075413</v>
      </c>
      <c r="W30" s="39">
        <f t="shared" si="8"/>
        <v>52.425170068027207</v>
      </c>
      <c r="X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35" t="s">
        <v>8</v>
      </c>
      <c r="C36" s="1036"/>
      <c r="D36" s="1036"/>
      <c r="E36" s="1036"/>
      <c r="F36" s="1036"/>
      <c r="G36" s="1036"/>
      <c r="H36" s="1036"/>
      <c r="I36" s="1036"/>
      <c r="J36" s="1037"/>
      <c r="K36" s="244"/>
      <c r="L36" s="42"/>
      <c r="M36" s="42"/>
      <c r="N36" s="42"/>
      <c r="O36" s="44"/>
      <c r="P36" s="88" t="s">
        <v>18</v>
      </c>
      <c r="Q36" s="1031" t="s">
        <v>8</v>
      </c>
      <c r="R36" s="1032"/>
      <c r="S36" s="1032"/>
      <c r="T36" s="1032"/>
      <c r="U36" s="103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58">
        <v>1</v>
      </c>
      <c r="C38" s="259">
        <v>2</v>
      </c>
      <c r="D38" s="259">
        <v>3</v>
      </c>
      <c r="E38" s="259">
        <v>4</v>
      </c>
      <c r="F38" s="259">
        <v>5</v>
      </c>
      <c r="G38" s="259">
        <v>6</v>
      </c>
      <c r="H38" s="260">
        <v>7</v>
      </c>
      <c r="I38" s="260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221">
        <f t="shared" ref="J39:J46" si="9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48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29</v>
      </c>
      <c r="C40" s="19">
        <v>30.8</v>
      </c>
      <c r="D40" s="19">
        <v>30.8</v>
      </c>
      <c r="E40" s="19">
        <v>32.799999999999997</v>
      </c>
      <c r="F40" s="19">
        <v>19.3</v>
      </c>
      <c r="G40" s="19">
        <v>40.799999999999997</v>
      </c>
      <c r="H40" s="19">
        <v>43.4</v>
      </c>
      <c r="I40" s="20">
        <v>37.6</v>
      </c>
      <c r="J40" s="221">
        <f t="shared" si="9"/>
        <v>264.5</v>
      </c>
      <c r="K40" s="49"/>
      <c r="L40" s="42"/>
      <c r="M40" s="42"/>
      <c r="N40" s="42"/>
      <c r="O40" s="2"/>
      <c r="P40" s="146" t="s">
        <v>24</v>
      </c>
      <c r="Q40" s="205">
        <v>14.2</v>
      </c>
      <c r="R40" s="217">
        <v>16.8</v>
      </c>
      <c r="S40" s="217">
        <v>13.3</v>
      </c>
      <c r="T40" s="249">
        <v>3.8</v>
      </c>
      <c r="U40" s="221">
        <f t="shared" ref="U40:U45" si="10">SUM(P40:T40)</f>
        <v>48.099999999999994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31.3</v>
      </c>
      <c r="C41" s="19">
        <v>34.200000000000003</v>
      </c>
      <c r="D41" s="19">
        <v>34.200000000000003</v>
      </c>
      <c r="E41" s="19">
        <v>37.4</v>
      </c>
      <c r="F41" s="19">
        <v>21.1</v>
      </c>
      <c r="G41" s="19">
        <v>44.2</v>
      </c>
      <c r="H41" s="19">
        <v>46.6</v>
      </c>
      <c r="I41" s="20">
        <v>39.4</v>
      </c>
      <c r="J41" s="221">
        <f t="shared" si="9"/>
        <v>288.39999999999998</v>
      </c>
      <c r="K41" s="49"/>
      <c r="L41" s="196"/>
      <c r="M41" s="196"/>
      <c r="N41" s="196"/>
      <c r="O41" s="2"/>
      <c r="P41" s="146" t="s">
        <v>20</v>
      </c>
      <c r="Q41" s="205">
        <v>14.6</v>
      </c>
      <c r="R41" s="217">
        <v>17.3</v>
      </c>
      <c r="S41" s="217">
        <v>13.8</v>
      </c>
      <c r="T41" s="249">
        <v>4</v>
      </c>
      <c r="U41" s="221">
        <f t="shared" si="10"/>
        <v>49.7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31.3</v>
      </c>
      <c r="C42" s="19">
        <v>34.200000000000003</v>
      </c>
      <c r="D42" s="19">
        <v>34.200000000000003</v>
      </c>
      <c r="E42" s="19">
        <v>37.4</v>
      </c>
      <c r="F42" s="19">
        <v>21.1</v>
      </c>
      <c r="G42" s="19">
        <v>44.2</v>
      </c>
      <c r="H42" s="19">
        <v>46.6</v>
      </c>
      <c r="I42" s="20">
        <v>39.4</v>
      </c>
      <c r="J42" s="221">
        <f t="shared" si="9"/>
        <v>288.39999999999998</v>
      </c>
      <c r="K42" s="49"/>
      <c r="L42" s="2"/>
      <c r="M42" s="2"/>
      <c r="N42" s="2"/>
      <c r="O42" s="2"/>
      <c r="P42" s="146" t="s">
        <v>28</v>
      </c>
      <c r="Q42" s="205">
        <v>14.6</v>
      </c>
      <c r="R42" s="217">
        <v>17.3</v>
      </c>
      <c r="S42" s="217">
        <v>13.8</v>
      </c>
      <c r="T42" s="249">
        <v>4</v>
      </c>
      <c r="U42" s="221">
        <f t="shared" si="10"/>
        <v>49.7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221">
        <f t="shared" si="9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49"/>
      <c r="U43" s="221">
        <f t="shared" si="10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(((((B$47*B$48)/1000)*7)-$B$40-$B$41-$B$42)/2)</f>
        <v>32.558000000000007</v>
      </c>
      <c r="C44" s="19">
        <f>((((($C$47*$C$48)/1000)*7)-$C$40-$C$41-$C$42)/2)</f>
        <v>35.782499999999985</v>
      </c>
      <c r="D44" s="19">
        <f>((((($D$47*$D$48)/1000)*7)-$D$40-$D$41-$D$42)/2)</f>
        <v>35.782499999999985</v>
      </c>
      <c r="E44" s="19">
        <f>((((($E$47*$E$48)/1000)*7)-$E$40-$E$41-$E$42)/2)</f>
        <v>39.712999999999994</v>
      </c>
      <c r="F44" s="19">
        <f>(((($F$47*$F$48)/1000)*7)-$F$40-$F$41-$F$42)/2</f>
        <v>21.870749999999997</v>
      </c>
      <c r="G44" s="19">
        <f>(((($G$47*$G$48)/1000)*7)-$G$40-$G$41-$G$42)/2</f>
        <v>45.832000000000015</v>
      </c>
      <c r="H44" s="19">
        <f>(((($H$47*$H$48)/1000)*7)-$H$40-$H$41-$H$42)/2</f>
        <v>48.223749999999995</v>
      </c>
      <c r="I44" s="20">
        <f>(((($I$47*$I$48)/1000)*7)-$I$40-$I$41-$I$42)/2</f>
        <v>40.191999999999993</v>
      </c>
      <c r="J44" s="221">
        <f t="shared" si="9"/>
        <v>299.95449999999994</v>
      </c>
      <c r="K44" s="49"/>
      <c r="L44" s="43"/>
      <c r="M44" s="43"/>
      <c r="N44" s="43"/>
      <c r="O44" s="2"/>
      <c r="P44" s="146" t="s">
        <v>22</v>
      </c>
      <c r="Q44" s="205">
        <f>(((($Q$47*$Q$48)/1000)*7)-$Q$40-$Q$41-$Q$42)/2</f>
        <v>14.798000000000002</v>
      </c>
      <c r="R44" s="217">
        <f>(((($R$47*$R$48)/1000*7)-$R$40-$R$41-$R$42)/2)</f>
        <v>17.497000000000007</v>
      </c>
      <c r="S44" s="217">
        <f>(((($S$47*$S$48)/1000)*7)-$S$40-$S$41-$S$42)/2</f>
        <v>13.968999999999999</v>
      </c>
      <c r="T44" s="249">
        <f>(((($T$47*$T$48)/1000)*7)-$T$40-$T$41-$T$42)/2</f>
        <v>2.8780000000000001</v>
      </c>
      <c r="U44" s="221">
        <f t="shared" si="10"/>
        <v>49.14200000000001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(((((B$47*B$48)/1000)*7)-$B$40-$B$41-$B$42)/2)</f>
        <v>32.558000000000007</v>
      </c>
      <c r="C45" s="19">
        <f>((((($C$47*$C$48)/1000)*7)-$C$40-$C$41-$C$42)/2)</f>
        <v>35.782499999999985</v>
      </c>
      <c r="D45" s="19">
        <f>((((($D$47*$D$48)/1000)*7)-$D$40-$D$41-$D$42)/2)</f>
        <v>35.782499999999985</v>
      </c>
      <c r="E45" s="19">
        <f>((((($E$47*$E$48)/1000)*7)-$E$40-$E$41-$E$42)/2)</f>
        <v>39.712999999999994</v>
      </c>
      <c r="F45" s="19">
        <f>(((($F$47*$F$48)/1000)*7)-$F$40-$F$41-$F$42)/2</f>
        <v>21.870749999999997</v>
      </c>
      <c r="G45" s="19">
        <f>(((($G$47*$G$48)/1000)*7)-$G$40-$G$41-$G$42)/2</f>
        <v>45.832000000000015</v>
      </c>
      <c r="H45" s="19">
        <f>(((($H$47*$H$48)/1000)*7)-$H$40-$H$41-$H$42)/2</f>
        <v>48.223749999999995</v>
      </c>
      <c r="I45" s="20">
        <f>(((($I$47*$I$48)/1000)*7)-$I$40-$I$41-$I$42)/2</f>
        <v>40.191999999999993</v>
      </c>
      <c r="J45" s="262">
        <f t="shared" si="9"/>
        <v>299.95449999999994</v>
      </c>
      <c r="K45" s="49"/>
      <c r="L45" s="41"/>
      <c r="M45" s="41"/>
      <c r="N45" s="41"/>
      <c r="O45" s="2"/>
      <c r="P45" s="146" t="s">
        <v>23</v>
      </c>
      <c r="Q45" s="207">
        <f>(((($Q$47*$Q$48)/1000)*7)-$Q$40-$Q$41-$Q$42)/2</f>
        <v>14.798000000000002</v>
      </c>
      <c r="R45" s="245">
        <f>(((($R$47*$R$48)/1000*7)-$R$40-$R$41-$R$42)/2)</f>
        <v>17.497000000000007</v>
      </c>
      <c r="S45" s="245">
        <f>(((($S$47*$S$48)/1000)*7)-$S$40-$S$41-$S$42)/2</f>
        <v>13.968999999999999</v>
      </c>
      <c r="T45" s="250">
        <f>(((($T$47*$T$48)/1000)*7)-$T$40-$T$41-$T$42)/2</f>
        <v>2.8780000000000001</v>
      </c>
      <c r="U45" s="262">
        <f t="shared" si="10"/>
        <v>49.14200000000001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122">
        <f t="shared" ref="B46:I46" si="11">SUM(B39:B45)</f>
        <v>156.71600000000001</v>
      </c>
      <c r="C46" s="120">
        <f t="shared" si="11"/>
        <v>170.76499999999999</v>
      </c>
      <c r="D46" s="120">
        <f t="shared" si="11"/>
        <v>170.76499999999999</v>
      </c>
      <c r="E46" s="120">
        <f t="shared" si="11"/>
        <v>187.02599999999998</v>
      </c>
      <c r="F46" s="120">
        <f t="shared" si="11"/>
        <v>105.2415</v>
      </c>
      <c r="G46" s="120">
        <f t="shared" si="11"/>
        <v>220.86400000000003</v>
      </c>
      <c r="H46" s="120">
        <f t="shared" si="11"/>
        <v>233.04749999999999</v>
      </c>
      <c r="I46" s="121">
        <f t="shared" si="11"/>
        <v>196.78399999999999</v>
      </c>
      <c r="J46" s="252">
        <f t="shared" si="9"/>
        <v>1441.2089999999998</v>
      </c>
      <c r="K46" s="49"/>
      <c r="L46" s="42"/>
      <c r="M46" s="42"/>
      <c r="N46" s="42"/>
      <c r="P46" s="80" t="s">
        <v>9</v>
      </c>
      <c r="Q46" s="200">
        <f>SUM(Q39:Q45)</f>
        <v>72.996000000000009</v>
      </c>
      <c r="R46" s="201">
        <f>SUM(R39:R45)</f>
        <v>86.394000000000034</v>
      </c>
      <c r="S46" s="201">
        <f>SUM(S39:S45)</f>
        <v>68.838000000000008</v>
      </c>
      <c r="T46" s="229">
        <f>SUM(T39:T45)</f>
        <v>17.556000000000001</v>
      </c>
      <c r="U46" s="252">
        <f>SUM(Q46:T46)</f>
        <v>245.78400000000008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58</v>
      </c>
      <c r="C47" s="24">
        <v>59.5</v>
      </c>
      <c r="D47" s="24">
        <v>59.5</v>
      </c>
      <c r="E47" s="24">
        <v>61</v>
      </c>
      <c r="F47" s="24">
        <v>58.5</v>
      </c>
      <c r="G47" s="24">
        <v>58</v>
      </c>
      <c r="H47" s="24">
        <v>57.5</v>
      </c>
      <c r="I47" s="25">
        <v>56</v>
      </c>
      <c r="J47" s="234">
        <f>+((J46/J48)/7)*1000</f>
        <v>58.391094724900725</v>
      </c>
      <c r="K47" s="50"/>
      <c r="L47" s="49"/>
      <c r="M47" s="49"/>
      <c r="N47" s="49"/>
      <c r="P47" s="93" t="s">
        <v>11</v>
      </c>
      <c r="Q47" s="63">
        <v>66</v>
      </c>
      <c r="R47" s="24">
        <v>66</v>
      </c>
      <c r="S47" s="24">
        <v>66</v>
      </c>
      <c r="T47" s="155">
        <v>66</v>
      </c>
      <c r="U47" s="234">
        <f>+((U46/U48)/7)*1000</f>
        <v>66.000000000000014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257</v>
      </c>
      <c r="G48" s="27">
        <v>544</v>
      </c>
      <c r="H48" s="27">
        <v>579</v>
      </c>
      <c r="I48" s="28">
        <v>502</v>
      </c>
      <c r="J48" s="256">
        <f>SUM(B48:I48)</f>
        <v>3526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38</v>
      </c>
      <c r="U48" s="235">
        <f>SUM(Q48:T48)</f>
        <v>532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2">(B48*B47)/1000</f>
        <v>22.388000000000002</v>
      </c>
      <c r="C49" s="31">
        <f t="shared" si="12"/>
        <v>24.395</v>
      </c>
      <c r="D49" s="31">
        <f t="shared" si="12"/>
        <v>24.395</v>
      </c>
      <c r="E49" s="31">
        <f t="shared" si="12"/>
        <v>26.718</v>
      </c>
      <c r="F49" s="31">
        <f t="shared" si="12"/>
        <v>15.0345</v>
      </c>
      <c r="G49" s="31">
        <f t="shared" si="12"/>
        <v>31.552</v>
      </c>
      <c r="H49" s="31">
        <f t="shared" si="12"/>
        <v>33.292499999999997</v>
      </c>
      <c r="I49" s="32">
        <f t="shared" si="12"/>
        <v>28.111999999999998</v>
      </c>
      <c r="J49" s="257">
        <f>((J46*1000)/J48)/7</f>
        <v>58.391094724900725</v>
      </c>
      <c r="K49" s="192"/>
      <c r="L49" s="49"/>
      <c r="M49" s="49"/>
      <c r="N49" s="49"/>
      <c r="P49" s="72" t="s">
        <v>13</v>
      </c>
      <c r="Q49" s="65">
        <f>(Q48*Q47)/1000</f>
        <v>10.428000000000001</v>
      </c>
      <c r="R49" s="31">
        <f>(R48*R47)/1000</f>
        <v>12.342000000000001</v>
      </c>
      <c r="S49" s="31">
        <f>(S48*S47)/1000</f>
        <v>9.8339999999999996</v>
      </c>
      <c r="T49" s="142">
        <f>(T48*T47)/1000</f>
        <v>2.508</v>
      </c>
      <c r="U49" s="253">
        <f>((U46*1000)/U48)/7</f>
        <v>66.000000000000028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3">((B48*B47)*7)/1000</f>
        <v>156.71600000000001</v>
      </c>
      <c r="C50" s="35">
        <f t="shared" si="13"/>
        <v>170.76499999999999</v>
      </c>
      <c r="D50" s="35">
        <f t="shared" si="13"/>
        <v>170.76499999999999</v>
      </c>
      <c r="E50" s="35">
        <f t="shared" si="13"/>
        <v>187.02600000000001</v>
      </c>
      <c r="F50" s="35">
        <f t="shared" si="13"/>
        <v>105.2415</v>
      </c>
      <c r="G50" s="35">
        <f t="shared" si="13"/>
        <v>220.864</v>
      </c>
      <c r="H50" s="35">
        <f t="shared" si="13"/>
        <v>233.04750000000001</v>
      </c>
      <c r="I50" s="68">
        <f t="shared" si="13"/>
        <v>196.78399999999999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72.995999999999995</v>
      </c>
      <c r="R50" s="35">
        <f>((R48*R47)*7)/1000</f>
        <v>86.394000000000005</v>
      </c>
      <c r="S50" s="35">
        <f>((S48*S47)*7)/1000</f>
        <v>68.837999999999994</v>
      </c>
      <c r="T50" s="157">
        <f>((T48*T47)*7)/1000</f>
        <v>17.556000000000001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4">+(B46/B48)/7*1000</f>
        <v>58</v>
      </c>
      <c r="C51" s="38">
        <f t="shared" si="14"/>
        <v>59.5</v>
      </c>
      <c r="D51" s="38">
        <f t="shared" si="14"/>
        <v>59.5</v>
      </c>
      <c r="E51" s="38">
        <f t="shared" si="14"/>
        <v>60.999999999999993</v>
      </c>
      <c r="F51" s="38">
        <f t="shared" si="14"/>
        <v>58.5</v>
      </c>
      <c r="G51" s="38">
        <f t="shared" si="14"/>
        <v>58.000000000000007</v>
      </c>
      <c r="H51" s="38">
        <f t="shared" si="14"/>
        <v>57.499999999999993</v>
      </c>
      <c r="I51" s="39">
        <f t="shared" si="14"/>
        <v>55.999999999999993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66.000000000000014</v>
      </c>
      <c r="R51" s="38">
        <f>+(R46/R48)/7*1000</f>
        <v>66.000000000000028</v>
      </c>
      <c r="S51" s="38">
        <f>+(S46/S48)/7*1000</f>
        <v>66.000000000000014</v>
      </c>
      <c r="T51" s="158">
        <f>+(T46/T48)/7*1000</f>
        <v>66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8"/>
      <c r="P54" s="1018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35" t="s">
        <v>63</v>
      </c>
      <c r="C55" s="1036"/>
      <c r="D55" s="1036"/>
      <c r="E55" s="1036"/>
      <c r="F55" s="1036"/>
      <c r="G55" s="1036"/>
      <c r="H55" s="1037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29.6</v>
      </c>
      <c r="C59" s="61">
        <v>35.5</v>
      </c>
      <c r="D59" s="61">
        <v>41.2</v>
      </c>
      <c r="E59" s="61">
        <v>31.7</v>
      </c>
      <c r="F59" s="61">
        <v>40.5</v>
      </c>
      <c r="G59" s="233"/>
      <c r="H59" s="221">
        <f t="shared" ref="H59:H64" si="15">SUM(B59:G59)</f>
        <v>178.5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30.9</v>
      </c>
      <c r="C60" s="61">
        <v>36.9</v>
      </c>
      <c r="D60" s="61">
        <v>42.8</v>
      </c>
      <c r="E60" s="61">
        <v>33.1</v>
      </c>
      <c r="F60" s="61">
        <v>42.2</v>
      </c>
      <c r="G60" s="233"/>
      <c r="H60" s="221">
        <f t="shared" si="15"/>
        <v>185.89999999999998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24.1</v>
      </c>
      <c r="C61" s="61">
        <v>41.5</v>
      </c>
      <c r="D61" s="61">
        <v>38.5</v>
      </c>
      <c r="E61" s="61">
        <v>33.4</v>
      </c>
      <c r="F61" s="61">
        <v>36.799999999999997</v>
      </c>
      <c r="G61" s="233">
        <v>11.6</v>
      </c>
      <c r="H61" s="221">
        <f t="shared" si="15"/>
        <v>185.9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33"/>
      <c r="H62" s="221">
        <f t="shared" si="15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24.1</v>
      </c>
      <c r="C63" s="61">
        <v>41.5</v>
      </c>
      <c r="D63" s="61">
        <v>38.5</v>
      </c>
      <c r="E63" s="61">
        <v>33.4</v>
      </c>
      <c r="F63" s="61">
        <v>36.799999999999997</v>
      </c>
      <c r="G63" s="233">
        <v>11.6</v>
      </c>
      <c r="H63" s="221">
        <f t="shared" si="15"/>
        <v>185.9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24.1</v>
      </c>
      <c r="C64" s="61">
        <v>41.5</v>
      </c>
      <c r="D64" s="61">
        <v>38.5</v>
      </c>
      <c r="E64" s="61">
        <v>33.4</v>
      </c>
      <c r="F64" s="61">
        <v>36.799999999999997</v>
      </c>
      <c r="G64" s="233">
        <v>11.6</v>
      </c>
      <c r="H64" s="262">
        <f t="shared" si="15"/>
        <v>185.9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122">
        <f>SUM(B61:B64)</f>
        <v>72.300000000000011</v>
      </c>
      <c r="C65" s="120">
        <f>SUM(C61:C64)</f>
        <v>124.5</v>
      </c>
      <c r="D65" s="120">
        <f>SUM(D61:D64)</f>
        <v>115.5</v>
      </c>
      <c r="E65" s="120">
        <f>SUM(E61:E64)</f>
        <v>100.19999999999999</v>
      </c>
      <c r="F65" s="120">
        <f>SUM(F61:F64)</f>
        <v>110.39999999999999</v>
      </c>
      <c r="G65" s="121">
        <f>SUM(G58:G64)</f>
        <v>34.799999999999997</v>
      </c>
      <c r="H65" s="252">
        <f>SUM(H58:H64)</f>
        <v>922.09999999999991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23">
        <v>73.5</v>
      </c>
      <c r="C66" s="24">
        <v>73.5</v>
      </c>
      <c r="D66" s="24">
        <v>73.5</v>
      </c>
      <c r="E66" s="24">
        <v>73.5</v>
      </c>
      <c r="F66" s="24">
        <v>73.5</v>
      </c>
      <c r="G66" s="25">
        <v>73.5</v>
      </c>
      <c r="H66" s="234">
        <f>+((H65/H67)/7)*1000</f>
        <v>74.171492921492913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241">
        <v>230</v>
      </c>
      <c r="C67" s="79">
        <v>396</v>
      </c>
      <c r="D67" s="79">
        <v>368</v>
      </c>
      <c r="E67" s="79">
        <v>320</v>
      </c>
      <c r="F67" s="79">
        <v>351</v>
      </c>
      <c r="G67" s="242">
        <v>111</v>
      </c>
      <c r="H67" s="235">
        <f>SUM(B67:G67)</f>
        <v>1776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30">
        <f t="shared" ref="B68:G68" si="16">(B67*B66)/1000</f>
        <v>16.905000000000001</v>
      </c>
      <c r="C68" s="31">
        <f t="shared" si="16"/>
        <v>29.106000000000002</v>
      </c>
      <c r="D68" s="31">
        <f t="shared" si="16"/>
        <v>27.047999999999998</v>
      </c>
      <c r="E68" s="31">
        <f t="shared" si="16"/>
        <v>23.52</v>
      </c>
      <c r="F68" s="31">
        <f t="shared" si="16"/>
        <v>25.798500000000001</v>
      </c>
      <c r="G68" s="32">
        <f t="shared" si="16"/>
        <v>8.1585000000000001</v>
      </c>
      <c r="H68" s="236">
        <f>((H65*1000)/H67)/7</f>
        <v>74.171492921492913</v>
      </c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34">
        <f t="shared" ref="B69:G69" si="17">((B67*B66)*7)/1000</f>
        <v>118.33499999999999</v>
      </c>
      <c r="C69" s="35">
        <f t="shared" si="17"/>
        <v>203.74199999999999</v>
      </c>
      <c r="D69" s="35">
        <f t="shared" si="17"/>
        <v>189.33600000000001</v>
      </c>
      <c r="E69" s="35">
        <f t="shared" si="17"/>
        <v>164.64</v>
      </c>
      <c r="F69" s="35">
        <f t="shared" si="17"/>
        <v>180.58949999999999</v>
      </c>
      <c r="G69" s="68">
        <f t="shared" si="17"/>
        <v>57.109499999999997</v>
      </c>
      <c r="H69" s="73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37">
        <f t="shared" ref="B70:G70" si="18">+(B65/B67)/4*1000</f>
        <v>78.58695652173914</v>
      </c>
      <c r="C70" s="38">
        <f t="shared" si="18"/>
        <v>78.598484848484844</v>
      </c>
      <c r="D70" s="38">
        <f t="shared" si="18"/>
        <v>78.46467391304347</v>
      </c>
      <c r="E70" s="38">
        <f t="shared" si="18"/>
        <v>78.28125</v>
      </c>
      <c r="F70" s="38">
        <f t="shared" si="18"/>
        <v>78.632478632478637</v>
      </c>
      <c r="G70" s="39">
        <f t="shared" si="18"/>
        <v>78.378378378378372</v>
      </c>
      <c r="H70" s="23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K15"/>
    <mergeCell ref="B55:H55"/>
    <mergeCell ref="O54:P54"/>
    <mergeCell ref="Q36:U36"/>
    <mergeCell ref="P15:W15"/>
    <mergeCell ref="L15:O15"/>
    <mergeCell ref="B36:J36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1:AI239"/>
  <sheetViews>
    <sheetView topLeftCell="A51" zoomScale="30" zoomScaleNormal="30" workbookViewId="0">
      <selection activeCell="L75" sqref="L75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64</v>
      </c>
      <c r="Q11" s="1022"/>
      <c r="R11" s="6"/>
      <c r="S11" s="6"/>
      <c r="T11" s="1"/>
      <c r="U11" s="1"/>
      <c r="V11" s="1" t="s">
        <v>6</v>
      </c>
      <c r="W11" s="95">
        <v>45448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9"/>
      <c r="L15" s="1038" t="s">
        <v>63</v>
      </c>
      <c r="M15" s="1028"/>
      <c r="N15" s="1029"/>
      <c r="O15" s="1038" t="s">
        <v>8</v>
      </c>
      <c r="P15" s="1028"/>
      <c r="Q15" s="1028"/>
      <c r="R15" s="1028"/>
      <c r="S15" s="1028"/>
      <c r="T15" s="1028"/>
      <c r="U15" s="1028"/>
      <c r="V15" s="1028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21</v>
      </c>
      <c r="C19" s="19">
        <v>39</v>
      </c>
      <c r="D19" s="19">
        <v>49.1</v>
      </c>
      <c r="E19" s="19">
        <v>35.299999999999997</v>
      </c>
      <c r="F19" s="19">
        <v>26.8</v>
      </c>
      <c r="G19" s="19">
        <v>18.600000000000001</v>
      </c>
      <c r="H19" s="19">
        <v>45.3</v>
      </c>
      <c r="I19" s="19">
        <v>52.9</v>
      </c>
      <c r="J19" s="19">
        <v>35.1</v>
      </c>
      <c r="K19" s="104">
        <v>15.7</v>
      </c>
      <c r="L19" s="18">
        <v>36.299999999999997</v>
      </c>
      <c r="M19" s="19">
        <v>61.5</v>
      </c>
      <c r="N19" s="104">
        <v>24.8</v>
      </c>
      <c r="O19" s="18">
        <v>28.6</v>
      </c>
      <c r="P19" s="19">
        <v>47.7</v>
      </c>
      <c r="Q19" s="19">
        <v>46.9</v>
      </c>
      <c r="R19" s="19">
        <v>43.9</v>
      </c>
      <c r="S19" s="19">
        <v>33.1</v>
      </c>
      <c r="T19" s="19">
        <v>63.3</v>
      </c>
      <c r="U19" s="19">
        <v>74.8</v>
      </c>
      <c r="V19" s="20">
        <v>42.131249999999994</v>
      </c>
      <c r="W19" s="98">
        <f t="shared" si="0"/>
        <v>841.83124999999995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23.680125000000004</v>
      </c>
      <c r="C20" s="19">
        <f>((((($C$26*$C$27)/1000)*7)-$C$19)/4)</f>
        <v>46.893124999999998</v>
      </c>
      <c r="D20" s="19">
        <f>((((($D$26*$D$27)/1000)*7)-$D$19)/4)</f>
        <v>59.072500000000012</v>
      </c>
      <c r="E20" s="19">
        <f>((((($E$26*$E$27)/1000)*7)-$E$19)/4)</f>
        <v>44.584999999999994</v>
      </c>
      <c r="F20" s="19">
        <f>((((($F$26*$F$27)/1000)*7)-$F$19)/4)</f>
        <v>32.666249999999998</v>
      </c>
      <c r="G20" s="19">
        <f>((((($G$26*$G$27)/1000)*7)-$G$19)/4)</f>
        <v>22.531874999999999</v>
      </c>
      <c r="H20" s="19">
        <f>((((($H$26*$H$27)/1000)*7)-$H$19)/4)</f>
        <v>54.541499999999999</v>
      </c>
      <c r="I20" s="19">
        <f>((((($I$26*$I$27)/1000)*7)-$I$19)/4)</f>
        <v>63.641124999999995</v>
      </c>
      <c r="J20" s="19">
        <f>((((($J$26*$J$27)/1000)*7)-$J$19)/4)</f>
        <v>40.010625000000005</v>
      </c>
      <c r="K20" s="104">
        <f>((((($K$26*$K$27)/1000)*7)-$K$19)/4)</f>
        <v>17.524749999999997</v>
      </c>
      <c r="L20" s="18">
        <f>((((($L$26*$L$27)/1000)*7)-$L$19)/4)</f>
        <v>40.917249999999996</v>
      </c>
      <c r="M20" s="19">
        <f>((((($M$26*$M$27)/1000)*7)-$M$19)/4)</f>
        <v>68.609250000000003</v>
      </c>
      <c r="N20" s="104">
        <f>((((($N$26*$N$27)/1000)*7)-$N$19)/4)</f>
        <v>27.757000000000001</v>
      </c>
      <c r="O20" s="18">
        <f>(((((O$26*O$27)/1000)*7)-$O$19)/4)</f>
        <v>28.077500000000001</v>
      </c>
      <c r="P20" s="19">
        <f>((((($P$26*$P$27)/1000)*7)-$P$19)/4)</f>
        <v>47.993249999999989</v>
      </c>
      <c r="Q20" s="19">
        <f>((((($Q$26*$Q$27)/1000)*7)-$Q$19)/4)</f>
        <v>50.058749999999996</v>
      </c>
      <c r="R20" s="19">
        <f>((((($R$26*$R$27)/1000)*7)-$R$19)/4)</f>
        <v>43.488499999999995</v>
      </c>
      <c r="S20" s="19">
        <f>((((($S$26*$S$27)/1000)*7)-$S$19)/4)</f>
        <v>31.765000000000001</v>
      </c>
      <c r="T20" s="19">
        <f>((((($T$26*$T$27)/1000)*7)-$T$19)/4)</f>
        <v>60.856499999999997</v>
      </c>
      <c r="U20" s="19">
        <f>((((($U$26*$U$27)/1000)*7)-$U$19)/4)</f>
        <v>68.558499999999995</v>
      </c>
      <c r="V20" s="20">
        <f>((((($V$26*$V$27)/1000)*7)-$V$19)/4)</f>
        <v>37.701562500000001</v>
      </c>
      <c r="W20" s="98">
        <f t="shared" si="0"/>
        <v>910.92993749999994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23.680125000000004</v>
      </c>
      <c r="C21" s="19">
        <f>((((($C$26*$C$27)/1000)*7)-$C$19)/4)</f>
        <v>46.893124999999998</v>
      </c>
      <c r="D21" s="19">
        <f>((((($D$26*$D$27)/1000)*7)-$D$19)/4)</f>
        <v>59.072500000000012</v>
      </c>
      <c r="E21" s="19">
        <f>((((($E$26*$E$27)/1000)*7)-$E$19)/4)</f>
        <v>44.584999999999994</v>
      </c>
      <c r="F21" s="19">
        <f>((((($F$26*$F$27)/1000)*7)-$F$19)/4)</f>
        <v>32.666249999999998</v>
      </c>
      <c r="G21" s="19">
        <f>((((($G$26*$G$27)/1000)*7)-$G$19)/4)</f>
        <v>22.531874999999999</v>
      </c>
      <c r="H21" s="19">
        <f>((((($H$26*$H$27)/1000)*7)-$H$19)/4)</f>
        <v>54.541499999999999</v>
      </c>
      <c r="I21" s="19">
        <f>((((($I$26*$I$27)/1000)*7)-$I$19)/4)</f>
        <v>63.641124999999995</v>
      </c>
      <c r="J21" s="19">
        <f>((((($J$26*$J$27)/1000)*7)-$J$19)/4)</f>
        <v>40.010625000000005</v>
      </c>
      <c r="K21" s="104">
        <f>((((($K$26*$K$27)/1000)*7)-$K$19)/4)</f>
        <v>17.524749999999997</v>
      </c>
      <c r="L21" s="18">
        <f>((((($L$26*$L$27)/1000)*7)-$L$19)/4)</f>
        <v>40.917249999999996</v>
      </c>
      <c r="M21" s="19">
        <f>((((($M$26*$M$27)/1000)*7)-$M$19)/4)</f>
        <v>68.609250000000003</v>
      </c>
      <c r="N21" s="104">
        <f>((((($N$26*$N$27)/1000)*7)-$N$19)/4)</f>
        <v>27.757000000000001</v>
      </c>
      <c r="O21" s="18">
        <f>(((((O$26*O$27)/1000)*7)-$O$19)/4)</f>
        <v>28.077500000000001</v>
      </c>
      <c r="P21" s="19">
        <f>((((($P$26*$P$27)/1000)*7)-$P$19)/4)</f>
        <v>47.993249999999989</v>
      </c>
      <c r="Q21" s="19">
        <f>((((($Q$26*$Q$27)/1000)*7)-$Q$19)/4)</f>
        <v>50.058749999999996</v>
      </c>
      <c r="R21" s="19">
        <f>((((($R$26*$R$27)/1000)*7)-$R$19)/4)</f>
        <v>43.488499999999995</v>
      </c>
      <c r="S21" s="19">
        <f>((((($S$26*$S$27)/1000)*7)-$S$19)/4)</f>
        <v>31.765000000000001</v>
      </c>
      <c r="T21" s="19">
        <f>((((($T$26*$T$27)/1000)*7)-$T$19)/4)</f>
        <v>60.856499999999997</v>
      </c>
      <c r="U21" s="19">
        <f>((((($U$26*$U$27)/1000)*7)-$U$19)/4)</f>
        <v>68.558499999999995</v>
      </c>
      <c r="V21" s="20">
        <f>((((($V$26*$V$27)/1000)*7)-$V$19)/4)</f>
        <v>37.701562500000001</v>
      </c>
      <c r="W21" s="98">
        <f t="shared" si="0"/>
        <v>910.92993749999994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23.680125000000004</v>
      </c>
      <c r="C23" s="19">
        <f>((((($C$26*$C$27)/1000)*7)-$C$19)/4)</f>
        <v>46.893124999999998</v>
      </c>
      <c r="D23" s="19">
        <f>((((($D$26*$D$27)/1000)*7)-$D$19)/4)</f>
        <v>59.072500000000012</v>
      </c>
      <c r="E23" s="19">
        <f>((((($E$26*$E$27)/1000)*7)-$E$19)/4)</f>
        <v>44.584999999999994</v>
      </c>
      <c r="F23" s="19">
        <f>((((($F$26*$F$27)/1000)*7)-$F$19)/4)</f>
        <v>32.666249999999998</v>
      </c>
      <c r="G23" s="19">
        <f>((((($G$26*$G$27)/1000)*7)-$G$19)/4)</f>
        <v>22.531874999999999</v>
      </c>
      <c r="H23" s="19">
        <f>((((($H$26*$H$27)/1000)*7)-$H$19)/4)</f>
        <v>54.541499999999999</v>
      </c>
      <c r="I23" s="19">
        <f>((((($I$26*$I$27)/1000)*7)-$I$19)/4)</f>
        <v>63.641124999999995</v>
      </c>
      <c r="J23" s="19">
        <f>((((($J$26*$J$27)/1000)*7)-$J$19)/4)</f>
        <v>40.010625000000005</v>
      </c>
      <c r="K23" s="104">
        <f>((((($K$26*$K$27)/1000)*7)-$K$19)/4)</f>
        <v>17.524749999999997</v>
      </c>
      <c r="L23" s="18">
        <f>((((($L$26*$L$27)/1000)*7)-$L$19)/4)</f>
        <v>40.917249999999996</v>
      </c>
      <c r="M23" s="19">
        <f>((((($M$26*$M$27)/1000)*7)-$M$19)/4)</f>
        <v>68.609250000000003</v>
      </c>
      <c r="N23" s="104">
        <f>((((($N$26*$N$27)/1000)*7)-$N$19)/4)</f>
        <v>27.757000000000001</v>
      </c>
      <c r="O23" s="18">
        <f>(((((O$26*O$27)/1000)*7)-$O$19)/4)</f>
        <v>28.077500000000001</v>
      </c>
      <c r="P23" s="19">
        <f>((((($P$26*$P$27)/1000)*7)-$P$19)/4)</f>
        <v>47.993249999999989</v>
      </c>
      <c r="Q23" s="19">
        <f>((((($Q$26*$Q$27)/1000)*7)-$Q$19)/4)</f>
        <v>50.058749999999996</v>
      </c>
      <c r="R23" s="19">
        <f>((((($R$26*$R$27)/1000)*7)-$R$19)/4)</f>
        <v>43.488499999999995</v>
      </c>
      <c r="S23" s="19">
        <f>((((($S$26*$S$27)/1000)*7)-$S$19)/4)</f>
        <v>31.765000000000001</v>
      </c>
      <c r="T23" s="19">
        <f>((((($T$26*$T$27)/1000)*7)-$T$19)/4)</f>
        <v>60.856499999999997</v>
      </c>
      <c r="U23" s="19">
        <f>((((($U$26*$U$27)/1000)*7)-$U$19)/4)</f>
        <v>68.558499999999995</v>
      </c>
      <c r="V23" s="20">
        <f>((((($V$26*$V$27)/1000)*7)-$V$19)/4)</f>
        <v>37.701562500000001</v>
      </c>
      <c r="W23" s="98">
        <f t="shared" si="0"/>
        <v>910.92993749999994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23.680125000000004</v>
      </c>
      <c r="C24" s="267">
        <f>((((($C$26*$C$27)/1000)*7)-$C$19)/4)</f>
        <v>46.893124999999998</v>
      </c>
      <c r="D24" s="267">
        <f>((((($D$26*$D$27)/1000)*7)-$D$19)/4)</f>
        <v>59.072500000000012</v>
      </c>
      <c r="E24" s="267">
        <f>((((($E$26*$E$27)/1000)*7)-$E$19)/4)</f>
        <v>44.584999999999994</v>
      </c>
      <c r="F24" s="267">
        <f>((((($F$26*$F$27)/1000)*7)-$F$19)/4)</f>
        <v>32.666249999999998</v>
      </c>
      <c r="G24" s="267">
        <f>((((($G$26*$G$27)/1000)*7)-$G$19)/4)</f>
        <v>22.531874999999999</v>
      </c>
      <c r="H24" s="267">
        <f>((((($H$26*$H$27)/1000)*7)-$H$19)/4)</f>
        <v>54.541499999999999</v>
      </c>
      <c r="I24" s="267">
        <f>((((($I$26*$I$27)/1000)*7)-$I$19)/4)</f>
        <v>63.641124999999995</v>
      </c>
      <c r="J24" s="267">
        <f>((((($J$26*$J$27)/1000)*7)-$J$19)/4)</f>
        <v>40.010625000000005</v>
      </c>
      <c r="K24" s="271">
        <f>((((($K$26*$K$27)/1000)*7)-$K$19)/4)</f>
        <v>17.524749999999997</v>
      </c>
      <c r="L24" s="266">
        <f>((((($L$26*$L$27)/1000)*7)-$L$19)/4)</f>
        <v>40.917249999999996</v>
      </c>
      <c r="M24" s="267">
        <f>((((($M$26*$M$27)/1000)*7)-$M$19)/4)</f>
        <v>68.609250000000003</v>
      </c>
      <c r="N24" s="271">
        <f>((((($N$26*$N$27)/1000)*7)-$N$19)/4)</f>
        <v>27.757000000000001</v>
      </c>
      <c r="O24" s="266">
        <f>(((((O$26*O$27)/1000)*7)-$O$19)/4)</f>
        <v>28.077500000000001</v>
      </c>
      <c r="P24" s="267">
        <f>((((($P$26*$P$27)/1000)*7)-$P$19)/4)</f>
        <v>47.993249999999989</v>
      </c>
      <c r="Q24" s="267">
        <f>((((($Q$26*$Q$27)/1000)*7)-$Q$19)/4)</f>
        <v>50.058749999999996</v>
      </c>
      <c r="R24" s="267">
        <f>((((($R$26*$R$27)/1000)*7)-$R$19)/4)</f>
        <v>43.488499999999995</v>
      </c>
      <c r="S24" s="267">
        <f>((((($S$26*$S$27)/1000)*7)-$S$19)/4)</f>
        <v>31.765000000000001</v>
      </c>
      <c r="T24" s="267">
        <f>((((($T$26*$T$27)/1000)*7)-$T$19)/4)</f>
        <v>60.856499999999997</v>
      </c>
      <c r="U24" s="267">
        <f>((((($U$26*$U$27)/1000)*7)-$U$19)/4)</f>
        <v>68.558499999999995</v>
      </c>
      <c r="V24" s="123">
        <f>((((($V$26*$V$27)/1000)*7)-$V$19)/4)</f>
        <v>37.701562500000001</v>
      </c>
      <c r="W24" s="272">
        <f t="shared" si="0"/>
        <v>910.92993749999994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115.72050000000002</v>
      </c>
      <c r="C25" s="120">
        <f t="shared" ref="C25:V25" si="1">SUM(C18:C24)</f>
        <v>226.57249999999999</v>
      </c>
      <c r="D25" s="120">
        <f t="shared" si="1"/>
        <v>285.39000000000004</v>
      </c>
      <c r="E25" s="120">
        <f t="shared" si="1"/>
        <v>213.64</v>
      </c>
      <c r="F25" s="120">
        <f t="shared" si="1"/>
        <v>157.46499999999997</v>
      </c>
      <c r="G25" s="120">
        <f t="shared" si="1"/>
        <v>108.72750000000001</v>
      </c>
      <c r="H25" s="120">
        <f t="shared" si="1"/>
        <v>263.46599999999995</v>
      </c>
      <c r="I25" s="120">
        <f t="shared" si="1"/>
        <v>307.46449999999999</v>
      </c>
      <c r="J25" s="120">
        <f t="shared" si="1"/>
        <v>195.14250000000001</v>
      </c>
      <c r="K25" s="268">
        <f t="shared" si="1"/>
        <v>85.798999999999992</v>
      </c>
      <c r="L25" s="122">
        <f t="shared" si="1"/>
        <v>199.96899999999997</v>
      </c>
      <c r="M25" s="120">
        <f t="shared" si="1"/>
        <v>335.93700000000001</v>
      </c>
      <c r="N25" s="268">
        <f t="shared" si="1"/>
        <v>135.828</v>
      </c>
      <c r="O25" s="122">
        <f t="shared" si="1"/>
        <v>140.91</v>
      </c>
      <c r="P25" s="120">
        <f t="shared" si="1"/>
        <v>239.67299999999994</v>
      </c>
      <c r="Q25" s="120">
        <f t="shared" si="1"/>
        <v>247.13499999999999</v>
      </c>
      <c r="R25" s="120">
        <f t="shared" si="1"/>
        <v>217.85399999999996</v>
      </c>
      <c r="S25" s="120">
        <f t="shared" si="1"/>
        <v>160.16000000000003</v>
      </c>
      <c r="T25" s="120">
        <f t="shared" si="1"/>
        <v>306.72599999999994</v>
      </c>
      <c r="U25" s="120">
        <f t="shared" si="1"/>
        <v>349.03399999999993</v>
      </c>
      <c r="V25" s="121">
        <f t="shared" si="1"/>
        <v>192.93749999999997</v>
      </c>
      <c r="W25" s="263">
        <f>SUM(W18:W24)</f>
        <v>4485.5509999999995</v>
      </c>
      <c r="Y25" s="42"/>
    </row>
    <row r="26" spans="1:35" s="2" customFormat="1" ht="36.75" customHeight="1" x14ac:dyDescent="0.25">
      <c r="A26" s="148" t="s">
        <v>11</v>
      </c>
      <c r="B26" s="23">
        <v>51.5</v>
      </c>
      <c r="C26" s="24">
        <v>53.5</v>
      </c>
      <c r="D26" s="24">
        <v>54</v>
      </c>
      <c r="E26" s="24">
        <v>54.5</v>
      </c>
      <c r="F26" s="24">
        <v>55</v>
      </c>
      <c r="G26" s="24">
        <v>54.5</v>
      </c>
      <c r="H26" s="24">
        <v>54</v>
      </c>
      <c r="I26" s="24">
        <v>53.5</v>
      </c>
      <c r="J26" s="24">
        <v>52.5</v>
      </c>
      <c r="K26" s="155">
        <v>51.5</v>
      </c>
      <c r="L26" s="23">
        <v>53</v>
      </c>
      <c r="M26" s="24">
        <v>51</v>
      </c>
      <c r="N26" s="155">
        <v>49.5</v>
      </c>
      <c r="O26" s="23">
        <v>55</v>
      </c>
      <c r="P26" s="24">
        <v>56.5</v>
      </c>
      <c r="Q26" s="24">
        <v>57.5</v>
      </c>
      <c r="R26" s="24">
        <v>58.5</v>
      </c>
      <c r="S26" s="24">
        <v>55</v>
      </c>
      <c r="T26" s="24">
        <v>54.5</v>
      </c>
      <c r="U26" s="24">
        <v>53.5</v>
      </c>
      <c r="V26" s="25">
        <v>52.5</v>
      </c>
      <c r="W26" s="99">
        <f>((W25/W27)/7)*1000</f>
        <v>53.897972916140965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560</v>
      </c>
      <c r="F27" s="27">
        <v>409</v>
      </c>
      <c r="G27" s="27">
        <v>285</v>
      </c>
      <c r="H27" s="27">
        <v>697</v>
      </c>
      <c r="I27" s="27">
        <v>821</v>
      </c>
      <c r="J27" s="27">
        <v>531</v>
      </c>
      <c r="K27" s="156">
        <v>238</v>
      </c>
      <c r="L27" s="26">
        <v>539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804</v>
      </c>
      <c r="U27" s="27">
        <v>932</v>
      </c>
      <c r="V27" s="28">
        <v>525</v>
      </c>
      <c r="W27" s="29">
        <f>SUM(B27:V27)</f>
        <v>11889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16.531500000000001</v>
      </c>
      <c r="C28" s="31">
        <f>(C27*C26)/1000</f>
        <v>32.3675</v>
      </c>
      <c r="D28" s="31">
        <f>(D27*D26)/1000</f>
        <v>40.770000000000003</v>
      </c>
      <c r="E28" s="31">
        <f>(E27*E26)/1000</f>
        <v>30.52</v>
      </c>
      <c r="F28" s="31">
        <f>(F27*F26)/1000</f>
        <v>22.495000000000001</v>
      </c>
      <c r="G28" s="31">
        <f t="shared" ref="G28:N28" si="2">(G27*G26)/1000</f>
        <v>15.532500000000001</v>
      </c>
      <c r="H28" s="31">
        <f t="shared" si="2"/>
        <v>37.637999999999998</v>
      </c>
      <c r="I28" s="31">
        <f t="shared" si="2"/>
        <v>43.923499999999997</v>
      </c>
      <c r="J28" s="31">
        <f t="shared" si="2"/>
        <v>27.877500000000001</v>
      </c>
      <c r="K28" s="142">
        <f t="shared" si="2"/>
        <v>12.257</v>
      </c>
      <c r="L28" s="30">
        <f t="shared" si="2"/>
        <v>28.567</v>
      </c>
      <c r="M28" s="31">
        <f t="shared" si="2"/>
        <v>47.991</v>
      </c>
      <c r="N28" s="142">
        <f t="shared" si="2"/>
        <v>19.404</v>
      </c>
      <c r="O28" s="30">
        <f t="shared" ref="O28:V28" si="3">(O27*O26)/1000</f>
        <v>20.13</v>
      </c>
      <c r="P28" s="31">
        <f t="shared" si="3"/>
        <v>34.238999999999997</v>
      </c>
      <c r="Q28" s="31">
        <f t="shared" si="3"/>
        <v>35.305</v>
      </c>
      <c r="R28" s="31">
        <f t="shared" si="3"/>
        <v>31.122</v>
      </c>
      <c r="S28" s="31">
        <f t="shared" si="3"/>
        <v>22.88</v>
      </c>
      <c r="T28" s="31">
        <f t="shared" si="3"/>
        <v>43.817999999999998</v>
      </c>
      <c r="U28" s="31">
        <f t="shared" si="3"/>
        <v>49.862000000000002</v>
      </c>
      <c r="V28" s="32">
        <f t="shared" si="3"/>
        <v>27.5625</v>
      </c>
      <c r="W28" s="33">
        <f>((W25*1000)/7)/W27</f>
        <v>53.897972916140958</v>
      </c>
      <c r="Y28" s="43"/>
    </row>
    <row r="29" spans="1:35" ht="33.75" customHeight="1" x14ac:dyDescent="0.25">
      <c r="A29" s="151" t="s">
        <v>14</v>
      </c>
      <c r="B29" s="34">
        <f>((B27*B26)*7)/1000</f>
        <v>115.7205</v>
      </c>
      <c r="C29" s="35">
        <f t="shared" ref="C29:N29" si="4">((C27*C26)*6)/1000</f>
        <v>194.20500000000001</v>
      </c>
      <c r="D29" s="35">
        <f t="shared" si="4"/>
        <v>244.62</v>
      </c>
      <c r="E29" s="35">
        <f t="shared" si="4"/>
        <v>183.12</v>
      </c>
      <c r="F29" s="35">
        <f t="shared" si="4"/>
        <v>134.97</v>
      </c>
      <c r="G29" s="35">
        <f t="shared" si="4"/>
        <v>93.194999999999993</v>
      </c>
      <c r="H29" s="35">
        <f t="shared" si="4"/>
        <v>225.828</v>
      </c>
      <c r="I29" s="35">
        <f t="shared" si="4"/>
        <v>263.541</v>
      </c>
      <c r="J29" s="35">
        <f t="shared" si="4"/>
        <v>167.26499999999999</v>
      </c>
      <c r="K29" s="157">
        <f t="shared" si="4"/>
        <v>73.542000000000002</v>
      </c>
      <c r="L29" s="34">
        <f t="shared" si="4"/>
        <v>171.40199999999999</v>
      </c>
      <c r="M29" s="35">
        <f t="shared" si="4"/>
        <v>287.94600000000003</v>
      </c>
      <c r="N29" s="157">
        <f t="shared" si="4"/>
        <v>116.42400000000001</v>
      </c>
      <c r="O29" s="34">
        <f t="shared" ref="O29:V29" si="5">((O27*O26)*4)/1000</f>
        <v>80.52</v>
      </c>
      <c r="P29" s="35">
        <f t="shared" si="5"/>
        <v>136.95599999999999</v>
      </c>
      <c r="Q29" s="35">
        <f t="shared" si="5"/>
        <v>141.22</v>
      </c>
      <c r="R29" s="35">
        <f t="shared" si="5"/>
        <v>124.488</v>
      </c>
      <c r="S29" s="35">
        <f t="shared" si="5"/>
        <v>91.52</v>
      </c>
      <c r="T29" s="35">
        <f t="shared" si="5"/>
        <v>175.27199999999999</v>
      </c>
      <c r="U29" s="35">
        <f t="shared" si="5"/>
        <v>199.44800000000001</v>
      </c>
      <c r="V29" s="68">
        <f t="shared" si="5"/>
        <v>110.25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51.500000000000007</v>
      </c>
      <c r="C30" s="38">
        <f t="shared" ref="C30:V30" si="6">+(C25/C27)/7*1000</f>
        <v>53.5</v>
      </c>
      <c r="D30" s="38">
        <f t="shared" si="6"/>
        <v>54.000000000000007</v>
      </c>
      <c r="E30" s="38">
        <f t="shared" si="6"/>
        <v>54.499999999999993</v>
      </c>
      <c r="F30" s="38">
        <f t="shared" si="6"/>
        <v>54.999999999999993</v>
      </c>
      <c r="G30" s="38">
        <f t="shared" si="6"/>
        <v>54.5</v>
      </c>
      <c r="H30" s="38">
        <f t="shared" si="6"/>
        <v>53.999999999999993</v>
      </c>
      <c r="I30" s="38">
        <f t="shared" si="6"/>
        <v>53.5</v>
      </c>
      <c r="J30" s="38">
        <f t="shared" si="6"/>
        <v>52.500000000000007</v>
      </c>
      <c r="K30" s="158">
        <f t="shared" si="6"/>
        <v>51.5</v>
      </c>
      <c r="L30" s="37">
        <f t="shared" si="6"/>
        <v>52.999999999999993</v>
      </c>
      <c r="M30" s="38">
        <f t="shared" si="6"/>
        <v>51.000000000000007</v>
      </c>
      <c r="N30" s="158">
        <f t="shared" si="6"/>
        <v>49.5</v>
      </c>
      <c r="O30" s="37">
        <f t="shared" si="6"/>
        <v>55</v>
      </c>
      <c r="P30" s="38">
        <f t="shared" si="6"/>
        <v>56.499999999999986</v>
      </c>
      <c r="Q30" s="38">
        <f t="shared" si="6"/>
        <v>57.499999999999993</v>
      </c>
      <c r="R30" s="38">
        <f t="shared" si="6"/>
        <v>58.499999999999993</v>
      </c>
      <c r="S30" s="38">
        <f t="shared" si="6"/>
        <v>55.000000000000007</v>
      </c>
      <c r="T30" s="38">
        <f t="shared" si="6"/>
        <v>54.499999999999993</v>
      </c>
      <c r="U30" s="38">
        <f t="shared" si="6"/>
        <v>53.499999999999993</v>
      </c>
      <c r="V30" s="39">
        <f t="shared" si="6"/>
        <v>52.499999999999993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35" t="s">
        <v>8</v>
      </c>
      <c r="C36" s="1036"/>
      <c r="D36" s="1036"/>
      <c r="E36" s="1036"/>
      <c r="F36" s="1036"/>
      <c r="G36" s="1036"/>
      <c r="H36" s="1036"/>
      <c r="I36" s="1036"/>
      <c r="J36" s="1037"/>
      <c r="K36" s="244"/>
      <c r="L36" s="42"/>
      <c r="M36" s="42"/>
      <c r="N36" s="42"/>
      <c r="O36" s="44"/>
      <c r="P36" s="88" t="s">
        <v>18</v>
      </c>
      <c r="Q36" s="1031" t="s">
        <v>8</v>
      </c>
      <c r="R36" s="1032"/>
      <c r="S36" s="1032"/>
      <c r="T36" s="1032"/>
      <c r="U36" s="103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32.558000000000007</v>
      </c>
      <c r="C40" s="19">
        <v>35.782499999999985</v>
      </c>
      <c r="D40" s="19">
        <v>35.782499999999985</v>
      </c>
      <c r="E40" s="19">
        <v>39.712999999999994</v>
      </c>
      <c r="F40" s="19">
        <v>22.075500000000002</v>
      </c>
      <c r="G40" s="19">
        <v>45.832000000000015</v>
      </c>
      <c r="H40" s="19">
        <v>48.223749999999995</v>
      </c>
      <c r="I40" s="20">
        <v>40.191999999999993</v>
      </c>
      <c r="J40" s="127">
        <f t="shared" si="7"/>
        <v>300.15924999999999</v>
      </c>
      <c r="K40" s="49"/>
      <c r="L40" s="42"/>
      <c r="M40" s="42"/>
      <c r="N40" s="42"/>
      <c r="O40" s="2"/>
      <c r="P40" s="146" t="s">
        <v>24</v>
      </c>
      <c r="Q40" s="205">
        <v>14.8</v>
      </c>
      <c r="R40" s="217">
        <v>17.5</v>
      </c>
      <c r="S40" s="217">
        <v>14</v>
      </c>
      <c r="T40" s="220">
        <v>4.0999999999999996</v>
      </c>
      <c r="U40" s="221">
        <f t="shared" ref="U40:U45" si="8">SUM(P40:T40)</f>
        <v>50.4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32.728250000000003</v>
      </c>
      <c r="C41" s="19">
        <f>((((($C$47*$C$48)/1000)*7)-$C$40)/4)</f>
        <v>35.539375000000007</v>
      </c>
      <c r="D41" s="19">
        <f>((((($D$47*$D$48)/1000)*7)-$D$40)/4)</f>
        <v>35.898125000000007</v>
      </c>
      <c r="E41" s="19">
        <f>((((($E$47*$E$48)/1000)*7)-$E$40)/4)</f>
        <v>39.511000000000003</v>
      </c>
      <c r="F41" s="19">
        <f>((((($F$47*$F$48)/1000)*7)-$F$40)/4)</f>
        <v>22.257124999999998</v>
      </c>
      <c r="G41" s="19">
        <f>((((($G$47*$G$48)/1000)*7)-$G$40)/4)</f>
        <v>46.61399999999999</v>
      </c>
      <c r="H41" s="19">
        <f>((((($H$47*$H$48)/1000)*7)-$H$40)/4)</f>
        <v>48.739062500000003</v>
      </c>
      <c r="I41" s="20">
        <f>((((($I$47*$I$48)/1000)*7)-$I$40)/4)</f>
        <v>41.344250000000002</v>
      </c>
      <c r="J41" s="127">
        <f t="shared" si="7"/>
        <v>302.63118750000001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15.102</v>
      </c>
      <c r="R41" s="217">
        <f>((((($R$47*$R$48)/1000)*7)-$R$40)/4)</f>
        <v>17.878</v>
      </c>
      <c r="S41" s="217">
        <f>((((($S$47*$S$48)/1000)*7)-$S$40)/4)</f>
        <v>14.230999999999998</v>
      </c>
      <c r="T41" s="220">
        <f>((((($T$47*$T$48)/1000)*7)-$T$40)/4)</f>
        <v>3.3780000000000006</v>
      </c>
      <c r="U41" s="221">
        <f t="shared" si="8"/>
        <v>50.588999999999999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32.728250000000003</v>
      </c>
      <c r="C42" s="19">
        <f>((((($C$47*$C$48)/1000)*7)-$C$40)/4)</f>
        <v>35.539375000000007</v>
      </c>
      <c r="D42" s="19">
        <f>((((($D$47*$D$48)/1000)*7)-$D$40)/4)</f>
        <v>35.898125000000007</v>
      </c>
      <c r="E42" s="19">
        <f>((((($E$47*$E$48)/1000)*7)-$E$40)/4)</f>
        <v>39.511000000000003</v>
      </c>
      <c r="F42" s="19">
        <f>((((($F$47*$F$48)/1000)*7)-$F$40)/4)</f>
        <v>22.257124999999998</v>
      </c>
      <c r="G42" s="19">
        <f>((((($G$47*$G$48)/1000)*7)-$G$40)/4)</f>
        <v>46.61399999999999</v>
      </c>
      <c r="H42" s="19">
        <f>((((($H$47*$H$48)/1000)*7)-$H$40)/4)</f>
        <v>48.739062500000003</v>
      </c>
      <c r="I42" s="20">
        <f>((((($I$47*$I$48)/1000)*7)-$I$40)/4)</f>
        <v>41.344250000000002</v>
      </c>
      <c r="J42" s="127">
        <f t="shared" si="7"/>
        <v>302.63118750000001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15.102</v>
      </c>
      <c r="R42" s="217">
        <f>((((($R$47*$R$48)/1000)*7)-$R$40)/4)</f>
        <v>17.878</v>
      </c>
      <c r="S42" s="217">
        <f>((((($S$47*$S$48)/1000)*7)-$S$40)/4)</f>
        <v>14.230999999999998</v>
      </c>
      <c r="T42" s="220">
        <f>((((($T$47*$T$48)/1000)*7)-$T$40)/4)</f>
        <v>3.3780000000000006</v>
      </c>
      <c r="U42" s="221">
        <f t="shared" si="8"/>
        <v>50.588999999999999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7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0"/>
      <c r="U43" s="221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32.728250000000003</v>
      </c>
      <c r="C44" s="19">
        <f>((((($C$47*$C$48)/1000)*7)-$C$40)/4)</f>
        <v>35.539375000000007</v>
      </c>
      <c r="D44" s="19">
        <f>((((($D$47*$D$48)/1000)*7)-$D$40)/4)</f>
        <v>35.898125000000007</v>
      </c>
      <c r="E44" s="19">
        <f>((((($E$47*$E$48)/1000)*7)-$E$40)/4)</f>
        <v>39.511000000000003</v>
      </c>
      <c r="F44" s="19">
        <f>((((($F$47*$F$48)/1000)*7)-$F$40)/4)</f>
        <v>22.257124999999998</v>
      </c>
      <c r="G44" s="19">
        <f>((((($G$47*$G$48)/1000)*7)-$G$40)/4)</f>
        <v>46.61399999999999</v>
      </c>
      <c r="H44" s="19">
        <f>((((($H$47*$H$48)/1000)*7)-$H$40)/4)</f>
        <v>48.739062500000003</v>
      </c>
      <c r="I44" s="20">
        <f>((((($I$47*$I$48)/1000)*7)-$I$40)/4)</f>
        <v>41.344250000000002</v>
      </c>
      <c r="J44" s="127">
        <f t="shared" si="7"/>
        <v>302.63118750000001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15.102</v>
      </c>
      <c r="R44" s="217">
        <f>((((($R$47*$R$48)/1000)*7)-$R$40)/4)</f>
        <v>17.878</v>
      </c>
      <c r="S44" s="217">
        <f>((((($S$47*$S$48)/1000)*7)-$S$40)/4)</f>
        <v>14.230999999999998</v>
      </c>
      <c r="T44" s="220">
        <f>((((($T$47*$T$48)/1000)*7)-$T$40)/4)</f>
        <v>3.3780000000000006</v>
      </c>
      <c r="U44" s="221">
        <f t="shared" si="8"/>
        <v>50.588999999999999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f>((((($B$47*$B$48)/1000)*7)-$B$40)/4)</f>
        <v>32.728250000000003</v>
      </c>
      <c r="C45" s="227">
        <f>((((($C$47*$C$48)/1000)*7)-$C$40)/4)</f>
        <v>35.539375000000007</v>
      </c>
      <c r="D45" s="227">
        <f>((((($D$47*$D$48)/1000)*7)-$D$40)/4)</f>
        <v>35.898125000000007</v>
      </c>
      <c r="E45" s="227">
        <f>((((($E$47*$E$48)/1000)*7)-$E$40)/4)</f>
        <v>39.511000000000003</v>
      </c>
      <c r="F45" s="227">
        <f>((((($F$47*$F$48)/1000)*7)-$F$40)/4)</f>
        <v>22.257124999999998</v>
      </c>
      <c r="G45" s="227">
        <f>((((($G$47*$G$48)/1000)*7)-$G$40)/4)</f>
        <v>46.61399999999999</v>
      </c>
      <c r="H45" s="227">
        <f>((((($H$47*$H$48)/1000)*7)-$H$40)/4)</f>
        <v>48.739062500000003</v>
      </c>
      <c r="I45" s="228">
        <f>((((($I$47*$I$48)/1000)*7)-$I$40)/4)</f>
        <v>41.344250000000002</v>
      </c>
      <c r="J45" s="274">
        <f t="shared" si="7"/>
        <v>302.63118750000001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15.102</v>
      </c>
      <c r="R45" s="245">
        <f>((((($R$47*$R$48)/1000)*7)-$R$40)/4)</f>
        <v>17.878</v>
      </c>
      <c r="S45" s="245">
        <f>((((($S$47*$S$48)/1000)*7)-$S$40)/4)</f>
        <v>14.230999999999998</v>
      </c>
      <c r="T45" s="246">
        <f>((((($T$47*$T$48)/1000)*7)-$T$40)/4)</f>
        <v>3.3780000000000006</v>
      </c>
      <c r="U45" s="262">
        <f t="shared" si="8"/>
        <v>50.588999999999999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163.471</v>
      </c>
      <c r="C46" s="201">
        <f t="shared" si="9"/>
        <v>177.94</v>
      </c>
      <c r="D46" s="201">
        <f t="shared" si="9"/>
        <v>179.375</v>
      </c>
      <c r="E46" s="201">
        <f t="shared" si="9"/>
        <v>197.75699999999998</v>
      </c>
      <c r="F46" s="201">
        <f t="shared" si="9"/>
        <v>111.104</v>
      </c>
      <c r="G46" s="201">
        <f t="shared" si="9"/>
        <v>232.28799999999995</v>
      </c>
      <c r="H46" s="201">
        <f t="shared" si="9"/>
        <v>243.18</v>
      </c>
      <c r="I46" s="273">
        <f t="shared" si="9"/>
        <v>205.56900000000002</v>
      </c>
      <c r="J46" s="252">
        <f t="shared" si="7"/>
        <v>1510.684</v>
      </c>
      <c r="K46" s="49"/>
      <c r="L46" s="42"/>
      <c r="M46" s="42"/>
      <c r="N46" s="42"/>
      <c r="P46" s="80" t="s">
        <v>9</v>
      </c>
      <c r="Q46" s="200">
        <f>SUM(Q39:Q45)</f>
        <v>75.208000000000013</v>
      </c>
      <c r="R46" s="201">
        <f>SUM(R39:R45)</f>
        <v>89.012</v>
      </c>
      <c r="S46" s="201">
        <f>SUM(S39:S45)</f>
        <v>70.923999999999992</v>
      </c>
      <c r="T46" s="229">
        <f>SUM(T39:T45)</f>
        <v>17.612000000000002</v>
      </c>
      <c r="U46" s="252">
        <f>SUM(Q46:T46)</f>
        <v>252.756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60.5</v>
      </c>
      <c r="C47" s="24">
        <v>62</v>
      </c>
      <c r="D47" s="24">
        <v>62.5</v>
      </c>
      <c r="E47" s="24">
        <v>64.5</v>
      </c>
      <c r="F47" s="24">
        <v>62</v>
      </c>
      <c r="G47" s="24">
        <v>61</v>
      </c>
      <c r="H47" s="24">
        <v>60</v>
      </c>
      <c r="I47" s="25">
        <v>58.5</v>
      </c>
      <c r="J47" s="234">
        <f>+((J46/J48)/7)*1000</f>
        <v>61.22326241134752</v>
      </c>
      <c r="K47" s="50"/>
      <c r="L47" s="49"/>
      <c r="M47" s="49"/>
      <c r="N47" s="49"/>
      <c r="P47" s="93" t="s">
        <v>11</v>
      </c>
      <c r="Q47" s="63">
        <v>68</v>
      </c>
      <c r="R47" s="24">
        <v>68</v>
      </c>
      <c r="S47" s="24">
        <v>68</v>
      </c>
      <c r="T47" s="155">
        <v>68</v>
      </c>
      <c r="U47" s="234">
        <f>+((U46/U48)/7)*1000</f>
        <v>67.999999999999986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256</v>
      </c>
      <c r="G48" s="27">
        <v>544</v>
      </c>
      <c r="H48" s="27">
        <v>579</v>
      </c>
      <c r="I48" s="28">
        <v>502</v>
      </c>
      <c r="J48" s="256">
        <f>SUM(B48:I48)</f>
        <v>3525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37</v>
      </c>
      <c r="U48" s="235">
        <f>SUM(Q48:T48)</f>
        <v>531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0">(B48*B47)/1000</f>
        <v>23.353000000000002</v>
      </c>
      <c r="C49" s="31">
        <f t="shared" si="10"/>
        <v>25.42</v>
      </c>
      <c r="D49" s="31">
        <f t="shared" si="10"/>
        <v>25.625</v>
      </c>
      <c r="E49" s="31">
        <f t="shared" si="10"/>
        <v>28.251000000000001</v>
      </c>
      <c r="F49" s="31">
        <f t="shared" si="10"/>
        <v>15.872</v>
      </c>
      <c r="G49" s="31">
        <f t="shared" si="10"/>
        <v>33.183999999999997</v>
      </c>
      <c r="H49" s="31">
        <f t="shared" si="10"/>
        <v>34.74</v>
      </c>
      <c r="I49" s="32">
        <f t="shared" si="10"/>
        <v>29.367000000000001</v>
      </c>
      <c r="J49" s="257">
        <f>((J46*1000)/J48)/7</f>
        <v>61.223262411347513</v>
      </c>
      <c r="K49" s="192"/>
      <c r="L49" s="49"/>
      <c r="M49" s="49"/>
      <c r="N49" s="49"/>
      <c r="P49" s="72" t="s">
        <v>13</v>
      </c>
      <c r="Q49" s="65">
        <f>(Q48*Q47)/1000</f>
        <v>10.744</v>
      </c>
      <c r="R49" s="31">
        <f>(R48*R47)/1000</f>
        <v>12.715999999999999</v>
      </c>
      <c r="S49" s="31">
        <f>(S48*S47)/1000</f>
        <v>10.132</v>
      </c>
      <c r="T49" s="142">
        <f>(T48*T47)/1000</f>
        <v>2.516</v>
      </c>
      <c r="U49" s="253">
        <f>((U46*1000)/U48)/7</f>
        <v>68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1">((B48*B47)*7)/1000</f>
        <v>163.471</v>
      </c>
      <c r="C50" s="35">
        <f t="shared" si="11"/>
        <v>177.94</v>
      </c>
      <c r="D50" s="35">
        <f t="shared" si="11"/>
        <v>179.375</v>
      </c>
      <c r="E50" s="35">
        <f t="shared" si="11"/>
        <v>197.75700000000001</v>
      </c>
      <c r="F50" s="35">
        <f t="shared" si="11"/>
        <v>111.104</v>
      </c>
      <c r="G50" s="35">
        <f t="shared" si="11"/>
        <v>232.28800000000001</v>
      </c>
      <c r="H50" s="35">
        <f t="shared" si="11"/>
        <v>243.18</v>
      </c>
      <c r="I50" s="68">
        <f t="shared" si="11"/>
        <v>205.56899999999999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75.207999999999998</v>
      </c>
      <c r="R50" s="35">
        <f>((R48*R47)*7)/1000</f>
        <v>89.012</v>
      </c>
      <c r="S50" s="35">
        <f>((S48*S47)*7)/1000</f>
        <v>70.924000000000007</v>
      </c>
      <c r="T50" s="157">
        <f>((T48*T47)*7)/1000</f>
        <v>17.611999999999998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60.5</v>
      </c>
      <c r="C51" s="38">
        <f t="shared" si="12"/>
        <v>62</v>
      </c>
      <c r="D51" s="38">
        <f t="shared" si="12"/>
        <v>62.5</v>
      </c>
      <c r="E51" s="38">
        <f t="shared" si="12"/>
        <v>64.499999999999986</v>
      </c>
      <c r="F51" s="38">
        <f t="shared" si="12"/>
        <v>62</v>
      </c>
      <c r="G51" s="38">
        <f t="shared" si="12"/>
        <v>60.999999999999993</v>
      </c>
      <c r="H51" s="38">
        <f t="shared" si="12"/>
        <v>60</v>
      </c>
      <c r="I51" s="39">
        <f t="shared" si="12"/>
        <v>58.5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68.000000000000014</v>
      </c>
      <c r="R51" s="38">
        <f>+(R46/R48)/7*1000</f>
        <v>67.999999999999986</v>
      </c>
      <c r="S51" s="38">
        <f>+(S46/S48)/7*1000</f>
        <v>67.999999999999986</v>
      </c>
      <c r="T51" s="158">
        <f>+(T46/T48)/7*1000</f>
        <v>68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8"/>
      <c r="P54" s="1018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35" t="s">
        <v>63</v>
      </c>
      <c r="C55" s="1036"/>
      <c r="D55" s="1036"/>
      <c r="E55" s="1036"/>
      <c r="F55" s="1036"/>
      <c r="G55" s="1036"/>
      <c r="H55" s="1037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24.1</v>
      </c>
      <c r="C59" s="61">
        <v>41.5</v>
      </c>
      <c r="D59" s="61">
        <v>38.5</v>
      </c>
      <c r="E59" s="61">
        <v>33.4</v>
      </c>
      <c r="F59" s="61">
        <v>36.799999999999997</v>
      </c>
      <c r="G59" s="233">
        <v>11.6</v>
      </c>
      <c r="H59" s="221">
        <f t="shared" ref="H59:H64" si="13">SUM(B59:G59)</f>
        <v>185.9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24.363749999999996</v>
      </c>
      <c r="C60" s="61">
        <f>((((($C$66*$C$67)/1000)*7)-$C$59)/4)</f>
        <v>41.9465</v>
      </c>
      <c r="D60" s="61">
        <f>((((($D$66*$D$67)/1000)*7)-$D$59)/4)</f>
        <v>38.997</v>
      </c>
      <c r="E60" s="61">
        <f>((((($E$66*$E$67)/1000)*7)-$E$59)/4)</f>
        <v>33.93</v>
      </c>
      <c r="F60" s="61">
        <f>((((($F$66*$F$67)/1000)*7)-$F$59)/4)</f>
        <v>37.175875000000005</v>
      </c>
      <c r="G60" s="61">
        <f>((((($G$66*$G$67)/1000)*7)-$G$59)/4)</f>
        <v>11.633749999999999</v>
      </c>
      <c r="H60" s="221">
        <f t="shared" si="13"/>
        <v>188.04687499999997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24.363749999999996</v>
      </c>
      <c r="C61" s="61">
        <f>((((($C$66*$C$67)/1000)*7)-$C$59)/4)</f>
        <v>41.9465</v>
      </c>
      <c r="D61" s="61">
        <f>((((($D$66*$D$67)/1000)*7)-$D$59)/4)</f>
        <v>38.997</v>
      </c>
      <c r="E61" s="61">
        <f>((((($E$66*$E$67)/1000)*7)-$E$59)/4)</f>
        <v>33.93</v>
      </c>
      <c r="F61" s="61">
        <f>((((($F$66*$F$67)/1000)*7)-$F$59)/4)</f>
        <v>37.175875000000005</v>
      </c>
      <c r="G61" s="61">
        <f>((((($G$66*$G$67)/1000)*7)-$G$59)/4)</f>
        <v>11.633749999999999</v>
      </c>
      <c r="H61" s="221">
        <f t="shared" si="13"/>
        <v>188.04687499999997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24.363749999999996</v>
      </c>
      <c r="C63" s="61">
        <f>((((($C$66*$C$67)/1000)*7)-$C$59)/4)</f>
        <v>41.9465</v>
      </c>
      <c r="D63" s="61">
        <f>((((($D$66*$D$67)/1000)*7)-$D$59)/4)</f>
        <v>38.997</v>
      </c>
      <c r="E63" s="61">
        <f>((((($E$66*$E$67)/1000)*7)-$E$59)/4)</f>
        <v>33.93</v>
      </c>
      <c r="F63" s="61">
        <f>((((($F$66*$F$67)/1000)*7)-$F$59)/4)</f>
        <v>37.175875000000005</v>
      </c>
      <c r="G63" s="61">
        <f>((((($G$66*$G$67)/1000)*7)-$G$59)/4)</f>
        <v>11.633749999999999</v>
      </c>
      <c r="H63" s="221">
        <f t="shared" si="13"/>
        <v>188.04687499999997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269">
        <f>((((($B$66*$B$67)/1000)*7)-$B$59)/4)</f>
        <v>24.363749999999996</v>
      </c>
      <c r="C64" s="269">
        <f>((((($C$66*$C$67)/1000)*7)-$C$59)/4)</f>
        <v>41.9465</v>
      </c>
      <c r="D64" s="61">
        <f>((((($D$66*$D$67)/1000)*7)-$D$59)/4)</f>
        <v>38.997</v>
      </c>
      <c r="E64" s="61">
        <f>((((($E$66*$E$67)/1000)*7)-$E$59)/4)</f>
        <v>33.93</v>
      </c>
      <c r="F64" s="61">
        <f>((((($F$66*$F$67)/1000)*7)-$F$59)/4)</f>
        <v>37.175875000000005</v>
      </c>
      <c r="G64" s="61">
        <f>((((($G$66*$G$67)/1000)*7)-$G$59)/4)</f>
        <v>11.633749999999999</v>
      </c>
      <c r="H64" s="262">
        <f t="shared" si="13"/>
        <v>188.04687499999997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121.55499999999998</v>
      </c>
      <c r="C65" s="120">
        <f t="shared" si="14"/>
        <v>209.286</v>
      </c>
      <c r="D65" s="120">
        <f t="shared" si="14"/>
        <v>194.488</v>
      </c>
      <c r="E65" s="120">
        <f t="shared" si="14"/>
        <v>169.12</v>
      </c>
      <c r="F65" s="120">
        <f t="shared" si="14"/>
        <v>185.50350000000003</v>
      </c>
      <c r="G65" s="121">
        <f t="shared" si="14"/>
        <v>58.134999999999998</v>
      </c>
      <c r="H65" s="275">
        <f t="shared" si="14"/>
        <v>938.08749999999998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75.5</v>
      </c>
      <c r="C66" s="24">
        <v>75.5</v>
      </c>
      <c r="D66" s="24">
        <v>75.5</v>
      </c>
      <c r="E66" s="24">
        <v>75.5</v>
      </c>
      <c r="F66" s="24">
        <v>75.5</v>
      </c>
      <c r="G66" s="25">
        <v>75.5</v>
      </c>
      <c r="H66" s="128">
        <f>+((H65/H67)/7)*1000</f>
        <v>75.5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351</v>
      </c>
      <c r="G67" s="279">
        <v>110</v>
      </c>
      <c r="H67" s="276">
        <f>SUM(B67:G67)</f>
        <v>1775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17.364999999999998</v>
      </c>
      <c r="C68" s="31">
        <f t="shared" si="15"/>
        <v>29.898</v>
      </c>
      <c r="D68" s="31">
        <f t="shared" si="15"/>
        <v>27.783999999999999</v>
      </c>
      <c r="E68" s="31">
        <f t="shared" si="15"/>
        <v>24.16</v>
      </c>
      <c r="F68" s="31">
        <f t="shared" si="15"/>
        <v>26.500499999999999</v>
      </c>
      <c r="G68" s="32">
        <f t="shared" si="15"/>
        <v>8.3049999999999997</v>
      </c>
      <c r="H68" s="277">
        <f>((H65*1000)/H67)/7</f>
        <v>75.5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34">
        <f t="shared" ref="B69:G69" si="16">((B67*B66)*7)/1000</f>
        <v>121.55500000000001</v>
      </c>
      <c r="C69" s="35">
        <f t="shared" si="16"/>
        <v>209.286</v>
      </c>
      <c r="D69" s="35">
        <f t="shared" si="16"/>
        <v>194.488</v>
      </c>
      <c r="E69" s="35">
        <f t="shared" si="16"/>
        <v>169.12</v>
      </c>
      <c r="F69" s="35">
        <f t="shared" si="16"/>
        <v>185.5035</v>
      </c>
      <c r="G69" s="68">
        <f t="shared" si="16"/>
        <v>58.134999999999998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75.499999999999986</v>
      </c>
      <c r="C70" s="38">
        <f t="shared" si="17"/>
        <v>75.5</v>
      </c>
      <c r="D70" s="38">
        <f t="shared" si="17"/>
        <v>75.5</v>
      </c>
      <c r="E70" s="38">
        <f t="shared" si="17"/>
        <v>75.5</v>
      </c>
      <c r="F70" s="38">
        <f t="shared" si="17"/>
        <v>75.500000000000014</v>
      </c>
      <c r="G70" s="39">
        <f t="shared" si="17"/>
        <v>75.5</v>
      </c>
      <c r="H70" s="40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Q36:U36"/>
    <mergeCell ref="O54:P54"/>
    <mergeCell ref="B55:H55"/>
    <mergeCell ref="L15:N15"/>
    <mergeCell ref="O15:V15"/>
    <mergeCell ref="A3:C3"/>
    <mergeCell ref="E9:G9"/>
    <mergeCell ref="W9:X9"/>
    <mergeCell ref="P11:Q11"/>
    <mergeCell ref="B15:K15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/>
  <dimension ref="A1:AI239"/>
  <sheetViews>
    <sheetView topLeftCell="A9" zoomScale="30" zoomScaleNormal="30" workbookViewId="0">
      <selection activeCell="T49" sqref="T49"/>
    </sheetView>
  </sheetViews>
  <sheetFormatPr baseColWidth="10" defaultRowHeight="15" x14ac:dyDescent="0.25"/>
  <cols>
    <col min="1" max="1" width="52.42578125" style="14" bestFit="1" customWidth="1"/>
    <col min="2" max="3" width="29.85546875" style="14" bestFit="1" customWidth="1"/>
    <col min="4" max="6" width="23.140625" style="14" bestFit="1" customWidth="1"/>
    <col min="7" max="7" width="29.855468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66</v>
      </c>
      <c r="Q11" s="1022"/>
      <c r="R11" s="6"/>
      <c r="S11" s="6"/>
      <c r="T11" s="1"/>
      <c r="U11" s="1"/>
      <c r="V11" s="1" t="s">
        <v>6</v>
      </c>
      <c r="W11" s="95">
        <v>45449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9"/>
      <c r="L15" s="1038" t="s">
        <v>63</v>
      </c>
      <c r="M15" s="1028"/>
      <c r="N15" s="1029"/>
      <c r="O15" s="1038" t="s">
        <v>8</v>
      </c>
      <c r="P15" s="1028"/>
      <c r="Q15" s="1028"/>
      <c r="R15" s="1028"/>
      <c r="S15" s="1028"/>
      <c r="T15" s="1028"/>
      <c r="U15" s="1028"/>
      <c r="V15" s="1028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46.9</v>
      </c>
      <c r="D19" s="19">
        <v>59.1</v>
      </c>
      <c r="E19" s="19">
        <v>44.6</v>
      </c>
      <c r="F19" s="19">
        <v>32.700000000000003</v>
      </c>
      <c r="G19" s="19">
        <v>22.6</v>
      </c>
      <c r="H19" s="19">
        <v>54.5</v>
      </c>
      <c r="I19" s="19">
        <v>63.6</v>
      </c>
      <c r="J19" s="19">
        <v>40</v>
      </c>
      <c r="K19" s="104">
        <v>17.8</v>
      </c>
      <c r="L19" s="18">
        <v>40.9</v>
      </c>
      <c r="M19" s="19">
        <v>68.599999999999994</v>
      </c>
      <c r="N19" s="104">
        <v>27.8</v>
      </c>
      <c r="O19" s="18">
        <v>28.1</v>
      </c>
      <c r="P19" s="19">
        <v>48</v>
      </c>
      <c r="Q19" s="19">
        <v>50.1</v>
      </c>
      <c r="R19" s="19">
        <v>43.5</v>
      </c>
      <c r="S19" s="19">
        <v>31.8</v>
      </c>
      <c r="T19" s="19">
        <v>60.9</v>
      </c>
      <c r="U19" s="19">
        <v>68.599999999999994</v>
      </c>
      <c r="V19" s="20">
        <v>37.700000000000003</v>
      </c>
      <c r="W19" s="98">
        <f t="shared" si="0"/>
        <v>911.5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24.409499999999998</v>
      </c>
      <c r="C20" s="19">
        <f>((((($C$26*$C$27)/1000)*7)-$C$19)/4)</f>
        <v>47.565000000000005</v>
      </c>
      <c r="D20" s="19">
        <f>((((($D$26*$D$27)/1000)*7)-$D$19)/4)</f>
        <v>60.536250000000003</v>
      </c>
      <c r="E20" s="19">
        <f>((((($E$26*$E$27)/1000)*7)-$E$19)/4)</f>
        <v>44.898125000000007</v>
      </c>
      <c r="F20" s="19">
        <f>((((($F$26*$F$27)/1000)*7)-$F$19)/4)</f>
        <v>32.831000000000003</v>
      </c>
      <c r="G20" s="19">
        <f>((((($G$26*$G$27)/1000)*7)-$G$19)/4)</f>
        <v>23.028124999999996</v>
      </c>
      <c r="H20" s="19">
        <f>((((($H$26*$H$27)/1000)*7)-$H$19)/4)</f>
        <v>55.900750000000002</v>
      </c>
      <c r="I20" s="19">
        <f>((((($I$26*$I$27)/1000)*7)-$I$19)/4)</f>
        <v>65.177499999999995</v>
      </c>
      <c r="J20" s="19">
        <f>((((($J$26*$J$27)/1000)*7)-$J$19)/4)</f>
        <v>41.281999999999996</v>
      </c>
      <c r="K20" s="104">
        <f>((((($K$26*$K$27)/1000)*7)-$K$19)/4)</f>
        <v>18.24925</v>
      </c>
      <c r="L20" s="18">
        <f>((((($L$26*$L$27)/1000)*7)-$L$19)/4)</f>
        <v>42.499000000000002</v>
      </c>
      <c r="M20" s="19">
        <f>((((($M$26*$M$27)/1000)*7)-$M$19)/4)</f>
        <v>70.95112499999999</v>
      </c>
      <c r="N20" s="104">
        <f>((((($N$26*$N$27)/1000)*7)-$N$19)/4)</f>
        <v>28.379000000000001</v>
      </c>
      <c r="O20" s="18">
        <f>(((((O$26*O$27)/1000)*7)-$O$19)/4)</f>
        <v>30.124000000000002</v>
      </c>
      <c r="P20" s="19">
        <f>((((($P$26*$P$27)/1000)*7)-$P$19)/4)</f>
        <v>50.569499999999998</v>
      </c>
      <c r="Q20" s="19">
        <f>((((($Q$26*$Q$27)/1000)*7)-$Q$19)/4)</f>
        <v>52.482250000000001</v>
      </c>
      <c r="R20" s="19">
        <f>((((($R$26*$R$27)/1000)*7)-$R$19)/4)</f>
        <v>46.381500000000003</v>
      </c>
      <c r="S20" s="19">
        <f>((((($S$26*$S$27)/1000)*7)-$S$19)/4)</f>
        <v>34.274000000000001</v>
      </c>
      <c r="T20" s="19">
        <f>((((($T$26*$T$27)/1000)*7)-$T$19)/4)</f>
        <v>65.476250000000007</v>
      </c>
      <c r="U20" s="19">
        <f>((((($U$26*$U$27)/1000)*7)-$U$19)/4)</f>
        <v>74.902625</v>
      </c>
      <c r="V20" s="20">
        <f>((((($V$26*$V$27)/1000)*7)-$V$19)/4)</f>
        <v>41.468500000000006</v>
      </c>
      <c r="W20" s="98">
        <f t="shared" si="0"/>
        <v>951.38525000000004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24.409499999999998</v>
      </c>
      <c r="C21" s="19">
        <f>((((($C$26*$C$27)/1000)*7)-$C$19)/4)</f>
        <v>47.565000000000005</v>
      </c>
      <c r="D21" s="19">
        <f>((((($D$26*$D$27)/1000)*7)-$D$19)/4)</f>
        <v>60.536250000000003</v>
      </c>
      <c r="E21" s="19">
        <f>((((($E$26*$E$27)/1000)*7)-$E$19)/4)</f>
        <v>44.898125000000007</v>
      </c>
      <c r="F21" s="19">
        <f>((((($F$26*$F$27)/1000)*7)-$F$19)/4)</f>
        <v>32.831000000000003</v>
      </c>
      <c r="G21" s="19">
        <f>((((($G$26*$G$27)/1000)*7)-$G$19)/4)</f>
        <v>23.028124999999996</v>
      </c>
      <c r="H21" s="19">
        <f>((((($H$26*$H$27)/1000)*7)-$H$19)/4)</f>
        <v>55.900750000000002</v>
      </c>
      <c r="I21" s="19">
        <f>((((($I$26*$I$27)/1000)*7)-$I$19)/4)</f>
        <v>65.177499999999995</v>
      </c>
      <c r="J21" s="19">
        <f>((((($J$26*$J$27)/1000)*7)-$J$19)/4)</f>
        <v>41.281999999999996</v>
      </c>
      <c r="K21" s="104">
        <f>((((($K$26*$K$27)/1000)*7)-$K$19)/4)</f>
        <v>18.24925</v>
      </c>
      <c r="L21" s="18">
        <f>((((($L$26*$L$27)/1000)*7)-$L$19)/4)</f>
        <v>42.499000000000002</v>
      </c>
      <c r="M21" s="19">
        <f>((((($M$26*$M$27)/1000)*7)-$M$19)/4)</f>
        <v>70.95112499999999</v>
      </c>
      <c r="N21" s="104">
        <f>((((($N$26*$N$27)/1000)*7)-$N$19)/4)</f>
        <v>28.379000000000001</v>
      </c>
      <c r="O21" s="18">
        <f>(((((O$26*O$27)/1000)*7)-$O$19)/4)</f>
        <v>30.124000000000002</v>
      </c>
      <c r="P21" s="19">
        <f>((((($P$26*$P$27)/1000)*7)-$P$19)/4)</f>
        <v>50.569499999999998</v>
      </c>
      <c r="Q21" s="19">
        <f>((((($Q$26*$Q$27)/1000)*7)-$Q$19)/4)</f>
        <v>52.482250000000001</v>
      </c>
      <c r="R21" s="19">
        <f>((((($R$26*$R$27)/1000)*7)-$R$19)/4)</f>
        <v>46.381500000000003</v>
      </c>
      <c r="S21" s="19">
        <f>((((($S$26*$S$27)/1000)*7)-$S$19)/4)</f>
        <v>34.274000000000001</v>
      </c>
      <c r="T21" s="19">
        <f>((((($T$26*$T$27)/1000)*7)-$T$19)/4)</f>
        <v>65.476250000000007</v>
      </c>
      <c r="U21" s="19">
        <f>((((($U$26*$U$27)/1000)*7)-$U$19)/4)</f>
        <v>74.902625</v>
      </c>
      <c r="V21" s="20">
        <f>((((($V$26*$V$27)/1000)*7)-$V$19)/4)</f>
        <v>41.468500000000006</v>
      </c>
      <c r="W21" s="98">
        <f t="shared" si="0"/>
        <v>951.38525000000004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24.409499999999998</v>
      </c>
      <c r="C23" s="19">
        <f>((((($C$26*$C$27)/1000)*7)-$C$19)/4)</f>
        <v>47.565000000000005</v>
      </c>
      <c r="D23" s="19">
        <f>((((($D$26*$D$27)/1000)*7)-$D$19)/4)</f>
        <v>60.536250000000003</v>
      </c>
      <c r="E23" s="19">
        <f>((((($E$26*$E$27)/1000)*7)-$E$19)/4)</f>
        <v>44.898125000000007</v>
      </c>
      <c r="F23" s="19">
        <f>((((($F$26*$F$27)/1000)*7)-$F$19)/4)</f>
        <v>32.831000000000003</v>
      </c>
      <c r="G23" s="19">
        <f>((((($G$26*$G$27)/1000)*7)-$G$19)/4)</f>
        <v>23.028124999999996</v>
      </c>
      <c r="H23" s="19">
        <f>((((($H$26*$H$27)/1000)*7)-$H$19)/4)</f>
        <v>55.900750000000002</v>
      </c>
      <c r="I23" s="19">
        <f>((((($I$26*$I$27)/1000)*7)-$I$19)/4)</f>
        <v>65.177499999999995</v>
      </c>
      <c r="J23" s="19">
        <f>((((($J$26*$J$27)/1000)*7)-$J$19)/4)</f>
        <v>41.281999999999996</v>
      </c>
      <c r="K23" s="104">
        <f>((((($K$26*$K$27)/1000)*7)-$K$19)/4)</f>
        <v>18.24925</v>
      </c>
      <c r="L23" s="18">
        <f>((((($L$26*$L$27)/1000)*7)-$L$19)/4)</f>
        <v>42.499000000000002</v>
      </c>
      <c r="M23" s="19">
        <f>((((($M$26*$M$27)/1000)*7)-$M$19)/4)</f>
        <v>70.95112499999999</v>
      </c>
      <c r="N23" s="104">
        <f>((((($N$26*$N$27)/1000)*7)-$N$19)/4)</f>
        <v>28.379000000000001</v>
      </c>
      <c r="O23" s="18">
        <f>(((((O$26*O$27)/1000)*7)-$O$19)/4)</f>
        <v>30.124000000000002</v>
      </c>
      <c r="P23" s="19">
        <f>((((($P$26*$P$27)/1000)*7)-$P$19)/4)</f>
        <v>50.569499999999998</v>
      </c>
      <c r="Q23" s="19">
        <f>((((($Q$26*$Q$27)/1000)*7)-$Q$19)/4)</f>
        <v>52.482250000000001</v>
      </c>
      <c r="R23" s="19">
        <f>((((($R$26*$R$27)/1000)*7)-$R$19)/4)</f>
        <v>46.381500000000003</v>
      </c>
      <c r="S23" s="19">
        <f>((((($S$26*$S$27)/1000)*7)-$S$19)/4)</f>
        <v>34.274000000000001</v>
      </c>
      <c r="T23" s="19">
        <f>((((($T$26*$T$27)/1000)*7)-$T$19)/4)</f>
        <v>65.476250000000007</v>
      </c>
      <c r="U23" s="19">
        <f>((((($U$26*$U$27)/1000)*7)-$U$19)/4)</f>
        <v>74.902625</v>
      </c>
      <c r="V23" s="20">
        <f>((((($V$26*$V$27)/1000)*7)-$V$19)/4)</f>
        <v>41.468500000000006</v>
      </c>
      <c r="W23" s="98">
        <f t="shared" si="0"/>
        <v>951.38525000000004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24.409499999999998</v>
      </c>
      <c r="C24" s="267">
        <f>((((($C$26*$C$27)/1000)*7)-$C$19)/4)</f>
        <v>47.565000000000005</v>
      </c>
      <c r="D24" s="267">
        <f>((((($D$26*$D$27)/1000)*7)-$D$19)/4)</f>
        <v>60.536250000000003</v>
      </c>
      <c r="E24" s="267">
        <f>((((($E$26*$E$27)/1000)*7)-$E$19)/4)</f>
        <v>44.898125000000007</v>
      </c>
      <c r="F24" s="267">
        <f>((((($F$26*$F$27)/1000)*7)-$F$19)/4)</f>
        <v>32.831000000000003</v>
      </c>
      <c r="G24" s="267">
        <f>((((($G$26*$G$27)/1000)*7)-$G$19)/4)</f>
        <v>23.028124999999996</v>
      </c>
      <c r="H24" s="267">
        <f>((((($H$26*$H$27)/1000)*7)-$H$19)/4)</f>
        <v>55.900750000000002</v>
      </c>
      <c r="I24" s="267">
        <f>((((($I$26*$I$27)/1000)*7)-$I$19)/4)</f>
        <v>65.177499999999995</v>
      </c>
      <c r="J24" s="267">
        <f>((((($J$26*$J$27)/1000)*7)-$J$19)/4)</f>
        <v>41.281999999999996</v>
      </c>
      <c r="K24" s="271">
        <f>((((($K$26*$K$27)/1000)*7)-$K$19)/4)</f>
        <v>18.24925</v>
      </c>
      <c r="L24" s="266">
        <f>((((($L$26*$L$27)/1000)*7)-$L$19)/4)</f>
        <v>42.499000000000002</v>
      </c>
      <c r="M24" s="267">
        <f>((((($M$26*$M$27)/1000)*7)-$M$19)/4)</f>
        <v>70.95112499999999</v>
      </c>
      <c r="N24" s="271">
        <f>((((($N$26*$N$27)/1000)*7)-$N$19)/4)</f>
        <v>28.379000000000001</v>
      </c>
      <c r="O24" s="266">
        <f>(((((O$26*O$27)/1000)*7)-$O$19)/4)</f>
        <v>30.124000000000002</v>
      </c>
      <c r="P24" s="267">
        <f>((((($P$26*$P$27)/1000)*7)-$P$19)/4)</f>
        <v>50.569499999999998</v>
      </c>
      <c r="Q24" s="267">
        <f>((((($Q$26*$Q$27)/1000)*7)-$Q$19)/4)</f>
        <v>52.482250000000001</v>
      </c>
      <c r="R24" s="267">
        <f>((((($R$26*$R$27)/1000)*7)-$R$19)/4)</f>
        <v>46.381500000000003</v>
      </c>
      <c r="S24" s="267">
        <f>((((($S$26*$S$27)/1000)*7)-$S$19)/4)</f>
        <v>34.274000000000001</v>
      </c>
      <c r="T24" s="267">
        <f>((((($T$26*$T$27)/1000)*7)-$T$19)/4)</f>
        <v>65.476250000000007</v>
      </c>
      <c r="U24" s="267">
        <f>((((($U$26*$U$27)/1000)*7)-$U$19)/4)</f>
        <v>74.902625</v>
      </c>
      <c r="V24" s="123">
        <f>((((($V$26*$V$27)/1000)*7)-$V$19)/4)</f>
        <v>41.468500000000006</v>
      </c>
      <c r="W24" s="272">
        <f t="shared" si="0"/>
        <v>951.38525000000004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121.33799999999998</v>
      </c>
      <c r="C25" s="120">
        <f t="shared" ref="C25:V25" si="1">SUM(C18:C24)</f>
        <v>237.16</v>
      </c>
      <c r="D25" s="120">
        <f t="shared" si="1"/>
        <v>301.245</v>
      </c>
      <c r="E25" s="120">
        <f t="shared" si="1"/>
        <v>224.1925</v>
      </c>
      <c r="F25" s="120">
        <f t="shared" si="1"/>
        <v>164.024</v>
      </c>
      <c r="G25" s="120">
        <f t="shared" si="1"/>
        <v>114.71249999999998</v>
      </c>
      <c r="H25" s="120">
        <f t="shared" si="1"/>
        <v>278.10300000000001</v>
      </c>
      <c r="I25" s="120">
        <f t="shared" si="1"/>
        <v>324.31</v>
      </c>
      <c r="J25" s="120">
        <f t="shared" si="1"/>
        <v>205.12799999999999</v>
      </c>
      <c r="K25" s="268">
        <f t="shared" si="1"/>
        <v>90.797000000000011</v>
      </c>
      <c r="L25" s="122">
        <f t="shared" si="1"/>
        <v>210.89599999999999</v>
      </c>
      <c r="M25" s="120">
        <f t="shared" si="1"/>
        <v>352.40449999999993</v>
      </c>
      <c r="N25" s="268">
        <f t="shared" si="1"/>
        <v>141.316</v>
      </c>
      <c r="O25" s="122">
        <f t="shared" si="1"/>
        <v>148.596</v>
      </c>
      <c r="P25" s="120">
        <f t="shared" si="1"/>
        <v>250.27800000000002</v>
      </c>
      <c r="Q25" s="120">
        <f t="shared" si="1"/>
        <v>260.029</v>
      </c>
      <c r="R25" s="120">
        <f t="shared" si="1"/>
        <v>229.02600000000001</v>
      </c>
      <c r="S25" s="120">
        <f t="shared" si="1"/>
        <v>168.89600000000002</v>
      </c>
      <c r="T25" s="120">
        <f t="shared" si="1"/>
        <v>322.80500000000001</v>
      </c>
      <c r="U25" s="120">
        <f t="shared" si="1"/>
        <v>368.21049999999997</v>
      </c>
      <c r="V25" s="121">
        <f t="shared" si="1"/>
        <v>203.57400000000001</v>
      </c>
      <c r="W25" s="263">
        <f>SUM(W18:W24)</f>
        <v>4717.0410000000002</v>
      </c>
      <c r="Y25" s="42"/>
    </row>
    <row r="26" spans="1:35" s="2" customFormat="1" ht="36.75" customHeight="1" x14ac:dyDescent="0.25">
      <c r="A26" s="148" t="s">
        <v>11</v>
      </c>
      <c r="B26" s="23">
        <v>54</v>
      </c>
      <c r="C26" s="24">
        <v>56</v>
      </c>
      <c r="D26" s="24">
        <v>57</v>
      </c>
      <c r="E26" s="24">
        <v>57.5</v>
      </c>
      <c r="F26" s="24">
        <v>58</v>
      </c>
      <c r="G26" s="24">
        <v>57.5</v>
      </c>
      <c r="H26" s="24">
        <v>57</v>
      </c>
      <c r="I26" s="24">
        <v>56.5</v>
      </c>
      <c r="J26" s="24">
        <v>55.5</v>
      </c>
      <c r="K26" s="155">
        <v>54.5</v>
      </c>
      <c r="L26" s="23">
        <v>56</v>
      </c>
      <c r="M26" s="24">
        <v>53.5</v>
      </c>
      <c r="N26" s="155">
        <v>51.5</v>
      </c>
      <c r="O26" s="23">
        <v>58</v>
      </c>
      <c r="P26" s="24">
        <v>59</v>
      </c>
      <c r="Q26" s="24">
        <v>60.5</v>
      </c>
      <c r="R26" s="24">
        <v>61.5</v>
      </c>
      <c r="S26" s="24">
        <v>58</v>
      </c>
      <c r="T26" s="24">
        <v>57.5</v>
      </c>
      <c r="U26" s="24">
        <v>56.5</v>
      </c>
      <c r="V26" s="25">
        <v>55.5</v>
      </c>
      <c r="W26" s="99">
        <f>((W25/W27)/7)*1000</f>
        <v>56.760697439353102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557</v>
      </c>
      <c r="F27" s="27">
        <v>404</v>
      </c>
      <c r="G27" s="27">
        <v>285</v>
      </c>
      <c r="H27" s="27">
        <v>697</v>
      </c>
      <c r="I27" s="27">
        <v>820</v>
      </c>
      <c r="J27" s="27">
        <v>528</v>
      </c>
      <c r="K27" s="156">
        <v>238</v>
      </c>
      <c r="L27" s="26">
        <v>538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802</v>
      </c>
      <c r="U27" s="27">
        <v>931</v>
      </c>
      <c r="V27" s="28">
        <v>524</v>
      </c>
      <c r="W27" s="29">
        <f>SUM(B27:V27)</f>
        <v>11872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17.334</v>
      </c>
      <c r="C28" s="31">
        <f>(C27*C26)/1000</f>
        <v>33.880000000000003</v>
      </c>
      <c r="D28" s="31">
        <f>(D27*D26)/1000</f>
        <v>43.034999999999997</v>
      </c>
      <c r="E28" s="31">
        <f>(E27*E26)/1000</f>
        <v>32.027500000000003</v>
      </c>
      <c r="F28" s="31">
        <f>(F27*F26)/1000</f>
        <v>23.431999999999999</v>
      </c>
      <c r="G28" s="31">
        <f t="shared" ref="G28:V28" si="2">(G27*G26)/1000</f>
        <v>16.387499999999999</v>
      </c>
      <c r="H28" s="31">
        <f t="shared" si="2"/>
        <v>39.728999999999999</v>
      </c>
      <c r="I28" s="31">
        <f t="shared" si="2"/>
        <v>46.33</v>
      </c>
      <c r="J28" s="31">
        <f t="shared" si="2"/>
        <v>29.303999999999998</v>
      </c>
      <c r="K28" s="142">
        <f t="shared" si="2"/>
        <v>12.971</v>
      </c>
      <c r="L28" s="30">
        <f t="shared" si="2"/>
        <v>30.128</v>
      </c>
      <c r="M28" s="31">
        <f t="shared" si="2"/>
        <v>50.343499999999999</v>
      </c>
      <c r="N28" s="142">
        <f t="shared" si="2"/>
        <v>20.187999999999999</v>
      </c>
      <c r="O28" s="30">
        <f t="shared" si="2"/>
        <v>21.228000000000002</v>
      </c>
      <c r="P28" s="31">
        <f t="shared" si="2"/>
        <v>35.753999999999998</v>
      </c>
      <c r="Q28" s="31">
        <f t="shared" si="2"/>
        <v>37.146999999999998</v>
      </c>
      <c r="R28" s="31">
        <f t="shared" si="2"/>
        <v>32.718000000000004</v>
      </c>
      <c r="S28" s="31">
        <f t="shared" si="2"/>
        <v>24.128</v>
      </c>
      <c r="T28" s="31">
        <f t="shared" si="2"/>
        <v>46.115000000000002</v>
      </c>
      <c r="U28" s="31">
        <f t="shared" si="2"/>
        <v>52.601500000000001</v>
      </c>
      <c r="V28" s="32">
        <f t="shared" si="2"/>
        <v>29.082000000000001</v>
      </c>
      <c r="W28" s="33">
        <f>((W25*1000)/7)/W27</f>
        <v>56.760697439353102</v>
      </c>
      <c r="Y28" s="43"/>
    </row>
    <row r="29" spans="1:35" ht="33.75" customHeight="1" x14ac:dyDescent="0.25">
      <c r="A29" s="151" t="s">
        <v>14</v>
      </c>
      <c r="B29" s="34">
        <f>((B27*B26)*7)/1000</f>
        <v>121.33799999999999</v>
      </c>
      <c r="C29" s="35">
        <f t="shared" ref="C29:N29" si="3">((C27*C26)*6)/1000</f>
        <v>203.28</v>
      </c>
      <c r="D29" s="35">
        <f t="shared" si="3"/>
        <v>258.20999999999998</v>
      </c>
      <c r="E29" s="35">
        <f t="shared" si="3"/>
        <v>192.16499999999999</v>
      </c>
      <c r="F29" s="35">
        <f t="shared" si="3"/>
        <v>140.59200000000001</v>
      </c>
      <c r="G29" s="35">
        <f t="shared" si="3"/>
        <v>98.325000000000003</v>
      </c>
      <c r="H29" s="35">
        <f t="shared" si="3"/>
        <v>238.374</v>
      </c>
      <c r="I29" s="35">
        <f t="shared" si="3"/>
        <v>277.98</v>
      </c>
      <c r="J29" s="35">
        <f t="shared" si="3"/>
        <v>175.82400000000001</v>
      </c>
      <c r="K29" s="157">
        <f t="shared" si="3"/>
        <v>77.825999999999993</v>
      </c>
      <c r="L29" s="34">
        <f t="shared" si="3"/>
        <v>180.768</v>
      </c>
      <c r="M29" s="35">
        <f t="shared" si="3"/>
        <v>302.06099999999998</v>
      </c>
      <c r="N29" s="157">
        <f t="shared" si="3"/>
        <v>121.128</v>
      </c>
      <c r="O29" s="34">
        <f t="shared" ref="O29:V29" si="4">((O27*O26)*4)/1000</f>
        <v>84.912000000000006</v>
      </c>
      <c r="P29" s="35">
        <f t="shared" si="4"/>
        <v>143.01599999999999</v>
      </c>
      <c r="Q29" s="35">
        <f t="shared" si="4"/>
        <v>148.58799999999999</v>
      </c>
      <c r="R29" s="35">
        <f t="shared" si="4"/>
        <v>130.87200000000001</v>
      </c>
      <c r="S29" s="35">
        <f t="shared" si="4"/>
        <v>96.512</v>
      </c>
      <c r="T29" s="35">
        <f t="shared" si="4"/>
        <v>184.46</v>
      </c>
      <c r="U29" s="35">
        <f t="shared" si="4"/>
        <v>210.40600000000001</v>
      </c>
      <c r="V29" s="68">
        <f t="shared" si="4"/>
        <v>116.328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53.999999999999993</v>
      </c>
      <c r="C30" s="38">
        <f t="shared" ref="C30:V30" si="5">+(C25/C27)/7*1000</f>
        <v>56</v>
      </c>
      <c r="D30" s="38">
        <f t="shared" si="5"/>
        <v>57</v>
      </c>
      <c r="E30" s="38">
        <f t="shared" si="5"/>
        <v>57.499999999999993</v>
      </c>
      <c r="F30" s="38">
        <f t="shared" si="5"/>
        <v>58</v>
      </c>
      <c r="G30" s="38">
        <f t="shared" si="5"/>
        <v>57.499999999999986</v>
      </c>
      <c r="H30" s="38">
        <f t="shared" si="5"/>
        <v>57</v>
      </c>
      <c r="I30" s="38">
        <f t="shared" si="5"/>
        <v>56.5</v>
      </c>
      <c r="J30" s="38">
        <f t="shared" si="5"/>
        <v>55.499999999999993</v>
      </c>
      <c r="K30" s="158">
        <f t="shared" si="5"/>
        <v>54.500000000000007</v>
      </c>
      <c r="L30" s="37">
        <f t="shared" si="5"/>
        <v>55.999999999999993</v>
      </c>
      <c r="M30" s="38">
        <f t="shared" si="5"/>
        <v>53.499999999999993</v>
      </c>
      <c r="N30" s="158">
        <f t="shared" si="5"/>
        <v>51.5</v>
      </c>
      <c r="O30" s="37">
        <f t="shared" si="5"/>
        <v>58</v>
      </c>
      <c r="P30" s="38">
        <f t="shared" si="5"/>
        <v>59.000000000000007</v>
      </c>
      <c r="Q30" s="38">
        <f t="shared" si="5"/>
        <v>60.5</v>
      </c>
      <c r="R30" s="38">
        <f t="shared" si="5"/>
        <v>61.5</v>
      </c>
      <c r="S30" s="38">
        <f t="shared" si="5"/>
        <v>58</v>
      </c>
      <c r="T30" s="38">
        <f t="shared" si="5"/>
        <v>57.5</v>
      </c>
      <c r="U30" s="38">
        <f t="shared" si="5"/>
        <v>56.499999999999993</v>
      </c>
      <c r="V30" s="39">
        <f t="shared" si="5"/>
        <v>55.5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35" t="s">
        <v>8</v>
      </c>
      <c r="C36" s="1036"/>
      <c r="D36" s="1036"/>
      <c r="E36" s="1036"/>
      <c r="F36" s="1036"/>
      <c r="G36" s="1036"/>
      <c r="H36" s="1036"/>
      <c r="I36" s="1036"/>
      <c r="J36" s="1037"/>
      <c r="K36" s="244"/>
      <c r="L36" s="42"/>
      <c r="M36" s="42"/>
      <c r="N36" s="42"/>
      <c r="O36" s="44"/>
      <c r="P36" s="88" t="s">
        <v>18</v>
      </c>
      <c r="Q36" s="1031" t="s">
        <v>8</v>
      </c>
      <c r="R36" s="1032"/>
      <c r="S36" s="1032"/>
      <c r="T36" s="1032"/>
      <c r="U36" s="103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32.700000000000003</v>
      </c>
      <c r="C40" s="19">
        <v>35.5</v>
      </c>
      <c r="D40" s="19">
        <v>35.9</v>
      </c>
      <c r="E40" s="19">
        <v>39.5</v>
      </c>
      <c r="F40" s="19">
        <v>22.3</v>
      </c>
      <c r="G40" s="19">
        <v>46.6</v>
      </c>
      <c r="H40" s="19">
        <v>48.7</v>
      </c>
      <c r="I40" s="20">
        <v>41.4</v>
      </c>
      <c r="J40" s="127">
        <f t="shared" si="6"/>
        <v>302.59999999999997</v>
      </c>
      <c r="K40" s="49"/>
      <c r="L40" s="42"/>
      <c r="M40" s="42"/>
      <c r="N40" s="42"/>
      <c r="O40" s="2"/>
      <c r="P40" s="146" t="s">
        <v>24</v>
      </c>
      <c r="Q40" s="18">
        <v>15.1</v>
      </c>
      <c r="R40" s="19">
        <v>17.899999999999999</v>
      </c>
      <c r="S40" s="19">
        <v>14.3</v>
      </c>
      <c r="T40" s="20">
        <v>3.4</v>
      </c>
      <c r="U40" s="221">
        <f t="shared" ref="U40:U45" si="7">SUM(P40:T40)</f>
        <v>50.699999999999996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36</v>
      </c>
      <c r="C41" s="19">
        <v>38.799999999999997</v>
      </c>
      <c r="D41" s="19">
        <v>39.4</v>
      </c>
      <c r="E41" s="19">
        <v>42.8</v>
      </c>
      <c r="F41" s="19">
        <v>24.7</v>
      </c>
      <c r="G41" s="19">
        <v>51.5</v>
      </c>
      <c r="H41" s="19">
        <v>53.4</v>
      </c>
      <c r="I41" s="20">
        <v>44.7</v>
      </c>
      <c r="J41" s="127">
        <f t="shared" si="6"/>
        <v>331.29999999999995</v>
      </c>
      <c r="K41" s="49"/>
      <c r="L41" s="196"/>
      <c r="M41" s="196"/>
      <c r="N41" s="196"/>
      <c r="O41" s="2"/>
      <c r="P41" s="146" t="s">
        <v>20</v>
      </c>
      <c r="Q41" s="18">
        <v>16.5</v>
      </c>
      <c r="R41" s="19">
        <v>19.399999999999999</v>
      </c>
      <c r="S41" s="19">
        <v>15.3</v>
      </c>
      <c r="T41" s="20">
        <v>3.2</v>
      </c>
      <c r="U41" s="221">
        <f t="shared" si="7"/>
        <v>54.400000000000006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36.1</v>
      </c>
      <c r="C42" s="19">
        <v>38.799999999999997</v>
      </c>
      <c r="D42" s="19">
        <v>39.4</v>
      </c>
      <c r="E42" s="19">
        <v>42.8</v>
      </c>
      <c r="F42" s="19">
        <v>24.8</v>
      </c>
      <c r="G42" s="19">
        <v>51.5</v>
      </c>
      <c r="H42" s="19">
        <v>53.4</v>
      </c>
      <c r="I42" s="20">
        <v>44.8</v>
      </c>
      <c r="J42" s="127">
        <f t="shared" si="6"/>
        <v>331.6</v>
      </c>
      <c r="K42" s="49"/>
      <c r="L42" s="2"/>
      <c r="M42" s="2"/>
      <c r="N42" s="2"/>
      <c r="O42" s="2"/>
      <c r="P42" s="146" t="s">
        <v>28</v>
      </c>
      <c r="Q42" s="18">
        <v>16.5</v>
      </c>
      <c r="R42" s="19">
        <v>19.399999999999999</v>
      </c>
      <c r="S42" s="19">
        <v>15.3</v>
      </c>
      <c r="T42" s="20">
        <v>3.2</v>
      </c>
      <c r="U42" s="221">
        <f t="shared" si="7"/>
        <v>54.400000000000006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18"/>
      <c r="R43" s="19"/>
      <c r="S43" s="19"/>
      <c r="T43" s="20"/>
      <c r="U43" s="221">
        <f t="shared" si="7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36.1</v>
      </c>
      <c r="C44" s="19">
        <v>38.9</v>
      </c>
      <c r="D44" s="19">
        <v>39.5</v>
      </c>
      <c r="E44" s="19">
        <v>42.8</v>
      </c>
      <c r="F44" s="19">
        <v>24.8</v>
      </c>
      <c r="G44" s="19">
        <v>51.6</v>
      </c>
      <c r="H44" s="19">
        <v>53.5</v>
      </c>
      <c r="I44" s="20">
        <v>44.8</v>
      </c>
      <c r="J44" s="127">
        <f t="shared" si="6"/>
        <v>332.00000000000006</v>
      </c>
      <c r="K44" s="49"/>
      <c r="L44" s="43"/>
      <c r="M44" s="43"/>
      <c r="N44" s="43"/>
      <c r="O44" s="2"/>
      <c r="P44" s="146" t="s">
        <v>22</v>
      </c>
      <c r="Q44" s="18">
        <v>16.600000000000001</v>
      </c>
      <c r="R44" s="19">
        <v>19.399999999999999</v>
      </c>
      <c r="S44" s="19">
        <v>15.3</v>
      </c>
      <c r="T44" s="20">
        <v>3.3</v>
      </c>
      <c r="U44" s="221">
        <f t="shared" si="7"/>
        <v>54.599999999999994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v>36.1</v>
      </c>
      <c r="C45" s="19">
        <v>38.9</v>
      </c>
      <c r="D45" s="19">
        <v>39.5</v>
      </c>
      <c r="E45" s="19">
        <v>42.8</v>
      </c>
      <c r="F45" s="19">
        <v>24.8</v>
      </c>
      <c r="G45" s="19">
        <v>51.6</v>
      </c>
      <c r="H45" s="19">
        <v>53.5</v>
      </c>
      <c r="I45" s="20">
        <v>44.8</v>
      </c>
      <c r="J45" s="274">
        <f t="shared" si="6"/>
        <v>332.00000000000006</v>
      </c>
      <c r="K45" s="49"/>
      <c r="L45" s="41"/>
      <c r="M45" s="41"/>
      <c r="N45" s="41"/>
      <c r="O45" s="2"/>
      <c r="P45" s="146" t="s">
        <v>23</v>
      </c>
      <c r="Q45" s="18">
        <v>16.600000000000001</v>
      </c>
      <c r="R45" s="19">
        <v>19.5</v>
      </c>
      <c r="S45" s="19">
        <v>15.4</v>
      </c>
      <c r="T45" s="20">
        <v>3.3</v>
      </c>
      <c r="U45" s="262">
        <f t="shared" si="7"/>
        <v>54.8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8">SUM(B39:B45)</f>
        <v>177</v>
      </c>
      <c r="C46" s="201">
        <f t="shared" si="8"/>
        <v>190.9</v>
      </c>
      <c r="D46" s="201">
        <f t="shared" si="8"/>
        <v>193.7</v>
      </c>
      <c r="E46" s="201">
        <f t="shared" si="8"/>
        <v>210.7</v>
      </c>
      <c r="F46" s="201">
        <f t="shared" si="8"/>
        <v>121.39999999999999</v>
      </c>
      <c r="G46" s="201">
        <f t="shared" si="8"/>
        <v>252.79999999999998</v>
      </c>
      <c r="H46" s="201">
        <f t="shared" si="8"/>
        <v>262.5</v>
      </c>
      <c r="I46" s="273">
        <f t="shared" si="8"/>
        <v>220.5</v>
      </c>
      <c r="J46" s="252">
        <f t="shared" si="6"/>
        <v>1629.5</v>
      </c>
      <c r="K46" s="49"/>
      <c r="L46" s="42"/>
      <c r="M46" s="42"/>
      <c r="N46" s="42"/>
      <c r="P46" s="80" t="s">
        <v>9</v>
      </c>
      <c r="Q46" s="200">
        <f>SUM(Q39:Q45)</f>
        <v>81.300000000000011</v>
      </c>
      <c r="R46" s="201">
        <f>SUM(R39:R45)</f>
        <v>95.6</v>
      </c>
      <c r="S46" s="201">
        <f>SUM(S39:S45)</f>
        <v>75.600000000000009</v>
      </c>
      <c r="T46" s="229">
        <f>SUM(T39:T45)</f>
        <v>16.400000000000002</v>
      </c>
      <c r="U46" s="252">
        <f>SUM(Q46:T46)</f>
        <v>268.89999999999998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65.5</v>
      </c>
      <c r="C47" s="24">
        <v>66.5</v>
      </c>
      <c r="D47" s="24">
        <v>67.5</v>
      </c>
      <c r="E47" s="24">
        <v>69.5</v>
      </c>
      <c r="F47" s="24">
        <v>68</v>
      </c>
      <c r="G47" s="24">
        <v>66.5</v>
      </c>
      <c r="H47" s="24">
        <v>65</v>
      </c>
      <c r="I47" s="25">
        <v>63</v>
      </c>
      <c r="J47" s="234">
        <f>+((J46/J48)/7)*1000</f>
        <v>66.245223188877148</v>
      </c>
      <c r="K47" s="50"/>
      <c r="L47" s="49"/>
      <c r="M47" s="49"/>
      <c r="N47" s="49"/>
      <c r="P47" s="93" t="s">
        <v>11</v>
      </c>
      <c r="Q47" s="63">
        <v>73.5</v>
      </c>
      <c r="R47" s="24">
        <v>73</v>
      </c>
      <c r="S47" s="24">
        <v>73</v>
      </c>
      <c r="T47" s="155">
        <v>73</v>
      </c>
      <c r="U47" s="234">
        <f>+((U46/U48)/7)*1000</f>
        <v>73.170068027210888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433</v>
      </c>
      <c r="F48" s="27">
        <v>255</v>
      </c>
      <c r="G48" s="27">
        <v>543</v>
      </c>
      <c r="H48" s="27">
        <v>577</v>
      </c>
      <c r="I48" s="28">
        <v>500</v>
      </c>
      <c r="J48" s="256">
        <f>SUM(B48:I48)</f>
        <v>3514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148</v>
      </c>
      <c r="T48" s="251">
        <v>32</v>
      </c>
      <c r="U48" s="235">
        <f>SUM(Q48:T48)</f>
        <v>525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9">(B48*B47)/1000</f>
        <v>25.283000000000001</v>
      </c>
      <c r="C49" s="31">
        <f t="shared" si="9"/>
        <v>27.265000000000001</v>
      </c>
      <c r="D49" s="31">
        <f t="shared" si="9"/>
        <v>27.675000000000001</v>
      </c>
      <c r="E49" s="31">
        <f t="shared" si="9"/>
        <v>30.093499999999999</v>
      </c>
      <c r="F49" s="31">
        <f t="shared" si="9"/>
        <v>17.34</v>
      </c>
      <c r="G49" s="31">
        <f t="shared" si="9"/>
        <v>36.109499999999997</v>
      </c>
      <c r="H49" s="31">
        <f t="shared" si="9"/>
        <v>37.505000000000003</v>
      </c>
      <c r="I49" s="32">
        <f t="shared" si="9"/>
        <v>31.5</v>
      </c>
      <c r="J49" s="257">
        <f>((J46*1000)/J48)/7</f>
        <v>66.245223188877148</v>
      </c>
      <c r="K49" s="192"/>
      <c r="L49" s="49"/>
      <c r="M49" s="49"/>
      <c r="N49" s="49"/>
      <c r="P49" s="72" t="s">
        <v>13</v>
      </c>
      <c r="Q49" s="65">
        <f>(Q48*Q47)/1000</f>
        <v>11.613</v>
      </c>
      <c r="R49" s="31">
        <f>(R48*R47)/1000</f>
        <v>13.651</v>
      </c>
      <c r="S49" s="31">
        <f>(S48*S47)/1000</f>
        <v>10.804</v>
      </c>
      <c r="T49" s="142">
        <f>(T48*T47)/1000</f>
        <v>2.3359999999999999</v>
      </c>
      <c r="U49" s="253">
        <f>((U46*1000)/U48)/7</f>
        <v>73.170068027210874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0">((B48*B47)*7)/1000</f>
        <v>176.98099999999999</v>
      </c>
      <c r="C50" s="282">
        <f t="shared" si="10"/>
        <v>190.85499999999999</v>
      </c>
      <c r="D50" s="282">
        <f t="shared" si="10"/>
        <v>193.72499999999999</v>
      </c>
      <c r="E50" s="282">
        <f t="shared" si="10"/>
        <v>210.65450000000001</v>
      </c>
      <c r="F50" s="282">
        <f t="shared" si="10"/>
        <v>121.38</v>
      </c>
      <c r="G50" s="282">
        <f t="shared" si="10"/>
        <v>252.76650000000001</v>
      </c>
      <c r="H50" s="282">
        <f t="shared" si="10"/>
        <v>262.53500000000003</v>
      </c>
      <c r="I50" s="284">
        <f t="shared" si="10"/>
        <v>220.5</v>
      </c>
      <c r="J50" s="73"/>
      <c r="K50" s="41"/>
      <c r="L50" s="49"/>
      <c r="M50" s="49"/>
      <c r="N50" s="49"/>
      <c r="P50" s="73" t="s">
        <v>14</v>
      </c>
      <c r="Q50" s="285">
        <f>((Q48*Q47)*7)/1000</f>
        <v>81.290999999999997</v>
      </c>
      <c r="R50" s="282">
        <f>((R48*R47)*7)/1000</f>
        <v>95.557000000000002</v>
      </c>
      <c r="S50" s="282">
        <f>((S48*S47)*7)/1000</f>
        <v>75.628</v>
      </c>
      <c r="T50" s="283">
        <f>((T48*T47)*7)/1000</f>
        <v>16.352</v>
      </c>
      <c r="U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65.507031828275359</v>
      </c>
      <c r="C51" s="38">
        <f t="shared" si="11"/>
        <v>66.515679442508713</v>
      </c>
      <c r="D51" s="38">
        <f t="shared" si="11"/>
        <v>67.491289198606268</v>
      </c>
      <c r="E51" s="38">
        <f t="shared" si="11"/>
        <v>69.515011547344102</v>
      </c>
      <c r="F51" s="38">
        <f t="shared" si="11"/>
        <v>68.011204481792703</v>
      </c>
      <c r="G51" s="38">
        <f t="shared" si="11"/>
        <v>66.508813470139444</v>
      </c>
      <c r="H51" s="38">
        <f t="shared" si="11"/>
        <v>64.991334488734822</v>
      </c>
      <c r="I51" s="39">
        <f t="shared" si="11"/>
        <v>63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73.508137432188079</v>
      </c>
      <c r="R51" s="38">
        <f>+(R46/R48)/7*1000</f>
        <v>73.032849503437731</v>
      </c>
      <c r="S51" s="38">
        <f>+(S46/S48)/7*1000</f>
        <v>72.972972972972997</v>
      </c>
      <c r="T51" s="158">
        <f>+(T46/T48)/7*1000</f>
        <v>73.214285714285722</v>
      </c>
      <c r="U51" s="255"/>
      <c r="V51" s="42"/>
      <c r="W51" s="42"/>
      <c r="X51" s="42"/>
    </row>
    <row r="52" spans="1:35" ht="33.75" customHeight="1" x14ac:dyDescent="0.25">
      <c r="A52" s="41"/>
      <c r="B52" s="287">
        <f>B50-B46</f>
        <v>-1.9000000000005457E-2</v>
      </c>
      <c r="C52" s="287">
        <f t="shared" ref="C52:I52" si="12">C50-C46</f>
        <v>-4.5000000000015916E-2</v>
      </c>
      <c r="D52" s="287">
        <f t="shared" si="12"/>
        <v>2.5000000000005684E-2</v>
      </c>
      <c r="E52" s="287">
        <f t="shared" si="12"/>
        <v>-4.5499999999975671E-2</v>
      </c>
      <c r="F52" s="287">
        <f t="shared" si="12"/>
        <v>-1.9999999999996021E-2</v>
      </c>
      <c r="G52" s="287">
        <f t="shared" si="12"/>
        <v>-3.3499999999975216E-2</v>
      </c>
      <c r="H52" s="287">
        <f t="shared" si="12"/>
        <v>3.5000000000025011E-2</v>
      </c>
      <c r="I52" s="287">
        <f t="shared" si="12"/>
        <v>0</v>
      </c>
      <c r="J52" s="41"/>
      <c r="K52" s="41"/>
      <c r="L52" s="41"/>
      <c r="M52" s="41"/>
      <c r="N52" s="41"/>
      <c r="O52" s="41"/>
      <c r="P52" s="42"/>
      <c r="Q52" s="42">
        <f>Q50-Q46</f>
        <v>-9.0000000000145519E-3</v>
      </c>
      <c r="R52" s="42">
        <f>R50-R46</f>
        <v>-4.2999999999992156E-2</v>
      </c>
      <c r="S52" s="42">
        <f>S50-S46</f>
        <v>2.7999999999991587E-2</v>
      </c>
      <c r="T52" s="42">
        <f>T50-T46</f>
        <v>-4.8000000000001819E-2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8"/>
      <c r="P54" s="1018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35" t="s">
        <v>63</v>
      </c>
      <c r="C55" s="1036"/>
      <c r="D55" s="1036"/>
      <c r="E55" s="1036"/>
      <c r="F55" s="1036"/>
      <c r="G55" s="1036"/>
      <c r="H55" s="1037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24.4</v>
      </c>
      <c r="C59" s="61">
        <v>42</v>
      </c>
      <c r="D59" s="61">
        <v>39</v>
      </c>
      <c r="E59" s="61">
        <v>34</v>
      </c>
      <c r="F59" s="61">
        <v>37.200000000000003</v>
      </c>
      <c r="G59" s="233">
        <v>11.7</v>
      </c>
      <c r="H59" s="221">
        <f t="shared" ref="H59:H64" si="13">SUM(B59:G59)</f>
        <v>188.3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26.3</v>
      </c>
      <c r="C60" s="61">
        <v>44.9</v>
      </c>
      <c r="D60" s="61">
        <v>41.7</v>
      </c>
      <c r="E60" s="61">
        <v>36</v>
      </c>
      <c r="F60" s="61">
        <v>39.4</v>
      </c>
      <c r="G60" s="61">
        <v>12.2</v>
      </c>
      <c r="H60" s="221">
        <f t="shared" si="13"/>
        <v>200.5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26.3</v>
      </c>
      <c r="C61" s="61">
        <v>44.9</v>
      </c>
      <c r="D61" s="61">
        <v>41.8</v>
      </c>
      <c r="E61" s="61">
        <v>36</v>
      </c>
      <c r="F61" s="61">
        <v>39.4</v>
      </c>
      <c r="G61" s="61">
        <v>12.2</v>
      </c>
      <c r="H61" s="221">
        <f t="shared" si="13"/>
        <v>200.6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26.3</v>
      </c>
      <c r="C63" s="61">
        <v>45</v>
      </c>
      <c r="D63" s="61">
        <v>41.8</v>
      </c>
      <c r="E63" s="61">
        <v>36</v>
      </c>
      <c r="F63" s="61">
        <v>39.4</v>
      </c>
      <c r="G63" s="61">
        <v>12.2</v>
      </c>
      <c r="H63" s="221">
        <f t="shared" si="13"/>
        <v>200.7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26.3</v>
      </c>
      <c r="C64" s="61">
        <v>45</v>
      </c>
      <c r="D64" s="61">
        <v>41.8</v>
      </c>
      <c r="E64" s="61">
        <v>36.1</v>
      </c>
      <c r="F64" s="61">
        <v>39.4</v>
      </c>
      <c r="G64" s="61">
        <v>12.2</v>
      </c>
      <c r="H64" s="262">
        <f t="shared" si="13"/>
        <v>200.79999999999998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129.6</v>
      </c>
      <c r="C65" s="120">
        <f t="shared" si="14"/>
        <v>221.8</v>
      </c>
      <c r="D65" s="120">
        <f t="shared" si="14"/>
        <v>206.10000000000002</v>
      </c>
      <c r="E65" s="120">
        <f t="shared" si="14"/>
        <v>178.1</v>
      </c>
      <c r="F65" s="120">
        <f t="shared" si="14"/>
        <v>194.8</v>
      </c>
      <c r="G65" s="121">
        <f t="shared" si="14"/>
        <v>60.5</v>
      </c>
      <c r="H65" s="275">
        <f t="shared" si="14"/>
        <v>990.89999999999986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80.5</v>
      </c>
      <c r="C66" s="24">
        <v>80</v>
      </c>
      <c r="D66" s="24">
        <v>80</v>
      </c>
      <c r="E66" s="24">
        <v>79.5</v>
      </c>
      <c r="F66" s="24">
        <v>79.5</v>
      </c>
      <c r="G66" s="25">
        <v>80</v>
      </c>
      <c r="H66" s="128">
        <f>+((H65/H67)/7)*1000</f>
        <v>79.885520799742011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350</v>
      </c>
      <c r="G67" s="279">
        <v>108</v>
      </c>
      <c r="H67" s="276">
        <f>SUM(B67:G67)</f>
        <v>1772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18.515000000000001</v>
      </c>
      <c r="C68" s="31">
        <f t="shared" si="15"/>
        <v>31.68</v>
      </c>
      <c r="D68" s="31">
        <f t="shared" si="15"/>
        <v>29.44</v>
      </c>
      <c r="E68" s="31">
        <f t="shared" si="15"/>
        <v>25.44</v>
      </c>
      <c r="F68" s="31">
        <f t="shared" si="15"/>
        <v>27.824999999999999</v>
      </c>
      <c r="G68" s="32">
        <f t="shared" si="15"/>
        <v>8.64</v>
      </c>
      <c r="H68" s="277">
        <f>((H65*1000)/H67)/7</f>
        <v>79.885520799742011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281">
        <f t="shared" ref="B69:G69" si="16">((B67*B66)*7)/1000</f>
        <v>129.60499999999999</v>
      </c>
      <c r="C69" s="282">
        <f t="shared" si="16"/>
        <v>221.76</v>
      </c>
      <c r="D69" s="282">
        <f t="shared" si="16"/>
        <v>206.08</v>
      </c>
      <c r="E69" s="282">
        <f t="shared" si="16"/>
        <v>178.08</v>
      </c>
      <c r="F69" s="282">
        <f t="shared" si="16"/>
        <v>194.77500000000001</v>
      </c>
      <c r="G69" s="284">
        <f t="shared" si="16"/>
        <v>60.48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80.496894409937894</v>
      </c>
      <c r="C70" s="38">
        <f t="shared" si="17"/>
        <v>80.014430014430005</v>
      </c>
      <c r="D70" s="38">
        <f t="shared" si="17"/>
        <v>80.007763975155285</v>
      </c>
      <c r="E70" s="38">
        <f t="shared" si="17"/>
        <v>79.508928571428569</v>
      </c>
      <c r="F70" s="38">
        <f t="shared" si="17"/>
        <v>79.510204081632665</v>
      </c>
      <c r="G70" s="39">
        <f t="shared" si="17"/>
        <v>80.026455026455025</v>
      </c>
      <c r="H70" s="40"/>
      <c r="V70" s="3"/>
    </row>
    <row r="71" spans="1:33" ht="33.75" customHeight="1" x14ac:dyDescent="0.25">
      <c r="B71" s="286">
        <f t="shared" ref="B71:G71" si="18">B69-B65</f>
        <v>4.9999999999954525E-3</v>
      </c>
      <c r="C71" s="286">
        <f t="shared" si="18"/>
        <v>-4.0000000000020464E-2</v>
      </c>
      <c r="D71" s="286">
        <f t="shared" si="18"/>
        <v>-2.0000000000010232E-2</v>
      </c>
      <c r="E71" s="286">
        <f t="shared" si="18"/>
        <v>-1.999999999998181E-2</v>
      </c>
      <c r="F71" s="286">
        <f t="shared" si="18"/>
        <v>-2.5000000000005684E-2</v>
      </c>
      <c r="G71" s="286">
        <f t="shared" si="18"/>
        <v>-2.0000000000003126E-2</v>
      </c>
    </row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Q36:U36"/>
    <mergeCell ref="O54:P54"/>
    <mergeCell ref="B55:H55"/>
    <mergeCell ref="A3:C3"/>
    <mergeCell ref="E9:G9"/>
    <mergeCell ref="W9:X9"/>
    <mergeCell ref="P11:Q11"/>
    <mergeCell ref="B15:K15"/>
    <mergeCell ref="L15:N15"/>
    <mergeCell ref="O15:V15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/>
  <dimension ref="A1:AI239"/>
  <sheetViews>
    <sheetView topLeftCell="E1" zoomScale="30" zoomScaleNormal="30" workbookViewId="0">
      <selection activeCell="P24" sqref="P24:W24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67</v>
      </c>
      <c r="Q11" s="1022"/>
      <c r="R11" s="6"/>
      <c r="S11" s="6"/>
      <c r="T11" s="1"/>
      <c r="U11" s="1"/>
      <c r="V11" s="1" t="s">
        <v>6</v>
      </c>
      <c r="W11" s="95">
        <v>45462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1038" t="s">
        <v>63</v>
      </c>
      <c r="M15" s="1028"/>
      <c r="N15" s="1028"/>
      <c r="O15" s="1029"/>
      <c r="P15" s="1025" t="s">
        <v>8</v>
      </c>
      <c r="Q15" s="1026"/>
      <c r="R15" s="1026"/>
      <c r="S15" s="1026"/>
      <c r="T15" s="1026"/>
      <c r="U15" s="1026"/>
      <c r="V15" s="1026"/>
      <c r="W15" s="1026"/>
      <c r="X15" s="1030"/>
      <c r="Z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238" t="s">
        <v>9</v>
      </c>
      <c r="Z16" s="194"/>
      <c r="AB16" s="15"/>
      <c r="AC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118"/>
      <c r="Z17" s="194"/>
      <c r="AB17" s="2"/>
      <c r="AC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66"/>
      <c r="M18" s="167"/>
      <c r="N18" s="167"/>
      <c r="O18" s="172"/>
      <c r="P18" s="181"/>
      <c r="Q18" s="125"/>
      <c r="R18" s="125"/>
      <c r="S18" s="125"/>
      <c r="T18" s="125"/>
      <c r="U18" s="125"/>
      <c r="V18" s="125"/>
      <c r="W18" s="141"/>
      <c r="X18" s="98">
        <f t="shared" ref="X18:X24" si="0">SUM(B18:W18)</f>
        <v>0</v>
      </c>
      <c r="Z18" s="42"/>
      <c r="AB18" s="2"/>
      <c r="AC18" s="15"/>
    </row>
    <row r="19" spans="1:35" ht="39.950000000000003" customHeight="1" x14ac:dyDescent="0.25">
      <c r="A19" s="146" t="s">
        <v>24</v>
      </c>
      <c r="B19" s="18">
        <v>24.4</v>
      </c>
      <c r="C19" s="19">
        <v>47.6</v>
      </c>
      <c r="D19" s="19">
        <v>60.5</v>
      </c>
      <c r="E19" s="19">
        <v>44.9</v>
      </c>
      <c r="F19" s="19">
        <v>32.799999999999997</v>
      </c>
      <c r="G19" s="19">
        <v>23.1</v>
      </c>
      <c r="H19" s="19">
        <v>55.9</v>
      </c>
      <c r="I19" s="19">
        <v>65.2</v>
      </c>
      <c r="J19" s="19">
        <v>41.3</v>
      </c>
      <c r="K19" s="104">
        <v>18.3</v>
      </c>
      <c r="L19" s="18">
        <v>42.5</v>
      </c>
      <c r="M19" s="19">
        <v>35.9</v>
      </c>
      <c r="N19" s="19">
        <v>35.9</v>
      </c>
      <c r="O19" s="20">
        <v>28.4</v>
      </c>
      <c r="P19" s="61">
        <v>30.1</v>
      </c>
      <c r="Q19" s="19">
        <v>50.6</v>
      </c>
      <c r="R19" s="19">
        <v>52.5</v>
      </c>
      <c r="S19" s="19">
        <v>46.4</v>
      </c>
      <c r="T19" s="19">
        <v>34.299999999999997</v>
      </c>
      <c r="U19" s="19">
        <v>65.5</v>
      </c>
      <c r="V19" s="19">
        <v>74.900000000000006</v>
      </c>
      <c r="W19" s="20">
        <v>41.5</v>
      </c>
      <c r="X19" s="98">
        <f t="shared" si="0"/>
        <v>952.49999999999989</v>
      </c>
      <c r="Z19" s="42"/>
      <c r="AB19" s="2"/>
      <c r="AC19" s="15"/>
    </row>
    <row r="20" spans="1:35" ht="39.75" customHeight="1" x14ac:dyDescent="0.25">
      <c r="A20" s="146" t="s">
        <v>20</v>
      </c>
      <c r="B20" s="18">
        <v>25.9</v>
      </c>
      <c r="C20" s="19">
        <v>50.4</v>
      </c>
      <c r="D20" s="19">
        <v>64</v>
      </c>
      <c r="E20" s="19">
        <v>48</v>
      </c>
      <c r="F20" s="19">
        <v>35.1</v>
      </c>
      <c r="G20" s="19">
        <v>24.6</v>
      </c>
      <c r="H20" s="19">
        <v>59.2</v>
      </c>
      <c r="I20" s="19">
        <v>68.900000000000006</v>
      </c>
      <c r="J20" s="19">
        <v>43.7</v>
      </c>
      <c r="K20" s="104">
        <v>19.3</v>
      </c>
      <c r="L20" s="18">
        <v>45.1</v>
      </c>
      <c r="M20" s="19">
        <v>37.5</v>
      </c>
      <c r="N20" s="19">
        <v>37.5</v>
      </c>
      <c r="O20" s="20">
        <v>29.9</v>
      </c>
      <c r="P20" s="61">
        <v>31.5</v>
      </c>
      <c r="Q20" s="19">
        <v>53.1</v>
      </c>
      <c r="R20" s="19">
        <v>55</v>
      </c>
      <c r="S20" s="19">
        <v>48.4</v>
      </c>
      <c r="T20" s="19">
        <v>36.200000000000003</v>
      </c>
      <c r="U20" s="19">
        <v>69.2</v>
      </c>
      <c r="V20" s="19">
        <v>79.599999999999994</v>
      </c>
      <c r="W20" s="20">
        <v>43.2</v>
      </c>
      <c r="X20" s="98">
        <f t="shared" si="0"/>
        <v>1005.3000000000002</v>
      </c>
      <c r="Z20" s="42"/>
      <c r="AB20" s="2"/>
      <c r="AC20" s="15"/>
    </row>
    <row r="21" spans="1:35" ht="39.950000000000003" customHeight="1" x14ac:dyDescent="0.25">
      <c r="A21" s="146" t="s">
        <v>28</v>
      </c>
      <c r="B21" s="18">
        <v>25.9</v>
      </c>
      <c r="C21" s="19">
        <v>50.5</v>
      </c>
      <c r="D21" s="19">
        <v>64</v>
      </c>
      <c r="E21" s="19">
        <v>48</v>
      </c>
      <c r="F21" s="19">
        <v>35.200000000000003</v>
      </c>
      <c r="G21" s="19">
        <v>24.6</v>
      </c>
      <c r="H21" s="19">
        <v>59.2</v>
      </c>
      <c r="I21" s="19">
        <v>69</v>
      </c>
      <c r="J21" s="19">
        <v>43.7</v>
      </c>
      <c r="K21" s="104">
        <v>19.399999999999999</v>
      </c>
      <c r="L21" s="18">
        <v>45.2</v>
      </c>
      <c r="M21" s="19">
        <v>37.5</v>
      </c>
      <c r="N21" s="19">
        <v>37.5</v>
      </c>
      <c r="O21" s="20">
        <v>29.9</v>
      </c>
      <c r="P21" s="61">
        <v>31.5</v>
      </c>
      <c r="Q21" s="19">
        <v>53.1</v>
      </c>
      <c r="R21" s="19">
        <v>55</v>
      </c>
      <c r="S21" s="19">
        <v>48.4</v>
      </c>
      <c r="T21" s="19">
        <v>36.200000000000003</v>
      </c>
      <c r="U21" s="19">
        <v>69.2</v>
      </c>
      <c r="V21" s="19">
        <v>79.599999999999994</v>
      </c>
      <c r="W21" s="20">
        <v>43.3</v>
      </c>
      <c r="X21" s="98">
        <f t="shared" si="0"/>
        <v>1005.9000000000001</v>
      </c>
      <c r="Z21" s="42"/>
      <c r="AB21" s="2"/>
      <c r="AC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9"/>
      <c r="O22" s="20"/>
      <c r="P22" s="61"/>
      <c r="Q22" s="19"/>
      <c r="R22" s="19"/>
      <c r="S22" s="19"/>
      <c r="T22" s="19"/>
      <c r="U22" s="19"/>
      <c r="V22" s="19"/>
      <c r="W22" s="20"/>
      <c r="X22" s="98">
        <f t="shared" si="0"/>
        <v>0</v>
      </c>
      <c r="Z22" s="42"/>
      <c r="AB22" s="2"/>
      <c r="AC22" s="15"/>
    </row>
    <row r="23" spans="1:35" ht="39.950000000000003" customHeight="1" x14ac:dyDescent="0.25">
      <c r="A23" s="146" t="s">
        <v>22</v>
      </c>
      <c r="B23" s="18">
        <v>25.9</v>
      </c>
      <c r="C23" s="19">
        <v>50.5</v>
      </c>
      <c r="D23" s="19">
        <v>64.099999999999994</v>
      </c>
      <c r="E23" s="19">
        <v>48</v>
      </c>
      <c r="F23" s="19">
        <v>35.200000000000003</v>
      </c>
      <c r="G23" s="19">
        <v>24.7</v>
      </c>
      <c r="H23" s="19">
        <v>59.2</v>
      </c>
      <c r="I23" s="19">
        <v>69</v>
      </c>
      <c r="J23" s="19">
        <v>43.7</v>
      </c>
      <c r="K23" s="104">
        <v>19.399999999999999</v>
      </c>
      <c r="L23" s="18">
        <v>45.2</v>
      </c>
      <c r="M23" s="19">
        <v>37.5</v>
      </c>
      <c r="N23" s="19">
        <v>37.5</v>
      </c>
      <c r="O23" s="20">
        <v>30</v>
      </c>
      <c r="P23" s="61">
        <v>31.6</v>
      </c>
      <c r="Q23" s="19">
        <v>53.1</v>
      </c>
      <c r="R23" s="19">
        <v>55</v>
      </c>
      <c r="S23" s="19">
        <v>48.5</v>
      </c>
      <c r="T23" s="19">
        <v>36.200000000000003</v>
      </c>
      <c r="U23" s="19">
        <v>69.3</v>
      </c>
      <c r="V23" s="19">
        <v>79.599999999999994</v>
      </c>
      <c r="W23" s="20">
        <v>43.3</v>
      </c>
      <c r="X23" s="98">
        <f t="shared" si="0"/>
        <v>1006.4999999999999</v>
      </c>
      <c r="Z23" s="42"/>
      <c r="AB23" s="2"/>
      <c r="AC23" s="15"/>
    </row>
    <row r="24" spans="1:35" ht="39.950000000000003" customHeight="1" thickBot="1" x14ac:dyDescent="0.3">
      <c r="A24" s="146" t="s">
        <v>23</v>
      </c>
      <c r="B24" s="18">
        <v>26</v>
      </c>
      <c r="C24" s="19">
        <v>50.5</v>
      </c>
      <c r="D24" s="19">
        <v>64.099999999999994</v>
      </c>
      <c r="E24" s="19">
        <v>48.1</v>
      </c>
      <c r="F24" s="19">
        <v>35.200000000000003</v>
      </c>
      <c r="G24" s="19">
        <v>24.7</v>
      </c>
      <c r="H24" s="19">
        <v>59.2</v>
      </c>
      <c r="I24" s="19">
        <v>69</v>
      </c>
      <c r="J24" s="19">
        <v>43.8</v>
      </c>
      <c r="K24" s="104">
        <v>19.399999999999999</v>
      </c>
      <c r="L24" s="18">
        <v>45.2</v>
      </c>
      <c r="M24" s="19">
        <v>37.5</v>
      </c>
      <c r="N24" s="19">
        <v>37.5</v>
      </c>
      <c r="O24" s="20">
        <v>30</v>
      </c>
      <c r="P24" s="61">
        <v>31.6</v>
      </c>
      <c r="Q24" s="19">
        <v>53.1</v>
      </c>
      <c r="R24" s="19">
        <v>55</v>
      </c>
      <c r="S24" s="19">
        <v>48.5</v>
      </c>
      <c r="T24" s="19">
        <v>36.200000000000003</v>
      </c>
      <c r="U24" s="19">
        <v>69.3</v>
      </c>
      <c r="V24" s="19">
        <v>79.7</v>
      </c>
      <c r="W24" s="20">
        <v>43.3</v>
      </c>
      <c r="X24" s="272">
        <f t="shared" si="0"/>
        <v>1006.9</v>
      </c>
      <c r="Z24" s="42"/>
      <c r="AB24" s="2"/>
    </row>
    <row r="25" spans="1:35" ht="41.45" customHeight="1" x14ac:dyDescent="0.25">
      <c r="A25" s="182" t="s">
        <v>9</v>
      </c>
      <c r="B25" s="122">
        <f>SUM(B18:B24)</f>
        <v>128.1</v>
      </c>
      <c r="C25" s="120">
        <f>SUM(C18:C24)</f>
        <v>249.5</v>
      </c>
      <c r="D25" s="120">
        <f t="shared" ref="D25:W25" si="1">SUM(D18:D24)</f>
        <v>316.7</v>
      </c>
      <c r="E25" s="120">
        <f t="shared" si="1"/>
        <v>237</v>
      </c>
      <c r="F25" s="120">
        <f t="shared" si="1"/>
        <v>173.5</v>
      </c>
      <c r="G25" s="120">
        <f t="shared" si="1"/>
        <v>121.70000000000002</v>
      </c>
      <c r="H25" s="120">
        <f t="shared" si="1"/>
        <v>292.7</v>
      </c>
      <c r="I25" s="120">
        <f t="shared" si="1"/>
        <v>341.1</v>
      </c>
      <c r="J25" s="120">
        <f t="shared" si="1"/>
        <v>216.2</v>
      </c>
      <c r="K25" s="268">
        <f t="shared" si="1"/>
        <v>95.800000000000011</v>
      </c>
      <c r="L25" s="122">
        <f t="shared" si="1"/>
        <v>223.2</v>
      </c>
      <c r="M25" s="120">
        <f t="shared" si="1"/>
        <v>185.9</v>
      </c>
      <c r="N25" s="120">
        <f t="shared" si="1"/>
        <v>185.9</v>
      </c>
      <c r="O25" s="121">
        <f>SUM(O18:O24)</f>
        <v>148.19999999999999</v>
      </c>
      <c r="P25" s="119">
        <f t="shared" si="1"/>
        <v>156.29999999999998</v>
      </c>
      <c r="Q25" s="120">
        <f t="shared" si="1"/>
        <v>263</v>
      </c>
      <c r="R25" s="120">
        <f t="shared" si="1"/>
        <v>272.5</v>
      </c>
      <c r="S25" s="120">
        <f t="shared" si="1"/>
        <v>240.2</v>
      </c>
      <c r="T25" s="120">
        <f t="shared" si="1"/>
        <v>179.10000000000002</v>
      </c>
      <c r="U25" s="120">
        <f t="shared" si="1"/>
        <v>342.5</v>
      </c>
      <c r="V25" s="120">
        <f t="shared" si="1"/>
        <v>393.4</v>
      </c>
      <c r="W25" s="121">
        <f t="shared" si="1"/>
        <v>214.60000000000002</v>
      </c>
      <c r="X25" s="263">
        <f>SUM(X18:X24)</f>
        <v>4977.1000000000004</v>
      </c>
      <c r="Z25" s="42"/>
    </row>
    <row r="26" spans="1:35" s="2" customFormat="1" ht="36.75" customHeight="1" x14ac:dyDescent="0.25">
      <c r="A26" s="148" t="s">
        <v>11</v>
      </c>
      <c r="B26" s="23">
        <v>57</v>
      </c>
      <c r="C26" s="24">
        <v>59</v>
      </c>
      <c r="D26" s="24">
        <v>60</v>
      </c>
      <c r="E26" s="24">
        <v>61</v>
      </c>
      <c r="F26" s="24">
        <v>61.5</v>
      </c>
      <c r="G26" s="24">
        <v>61</v>
      </c>
      <c r="H26" s="24">
        <v>60</v>
      </c>
      <c r="I26" s="24">
        <v>59.5</v>
      </c>
      <c r="J26" s="24">
        <v>58.5</v>
      </c>
      <c r="K26" s="155">
        <v>57.5</v>
      </c>
      <c r="L26" s="23">
        <v>59.5</v>
      </c>
      <c r="M26" s="24">
        <v>56.5</v>
      </c>
      <c r="N26" s="24">
        <v>56.5</v>
      </c>
      <c r="O26" s="25">
        <v>54</v>
      </c>
      <c r="P26" s="63">
        <v>61</v>
      </c>
      <c r="Q26" s="24">
        <v>62</v>
      </c>
      <c r="R26" s="24">
        <v>63.5</v>
      </c>
      <c r="S26" s="24">
        <v>65</v>
      </c>
      <c r="T26" s="24">
        <v>61.5</v>
      </c>
      <c r="U26" s="24">
        <v>61</v>
      </c>
      <c r="V26" s="24">
        <v>60.5</v>
      </c>
      <c r="W26" s="25">
        <v>58.5</v>
      </c>
      <c r="X26" s="99">
        <f>((X25/X27)/7)*1000</f>
        <v>59.970840562945831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604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819</v>
      </c>
      <c r="J27" s="27">
        <v>528</v>
      </c>
      <c r="K27" s="156">
        <v>238</v>
      </c>
      <c r="L27" s="26">
        <v>536</v>
      </c>
      <c r="M27" s="27">
        <v>470</v>
      </c>
      <c r="N27" s="27">
        <v>470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802</v>
      </c>
      <c r="V27" s="27">
        <v>929</v>
      </c>
      <c r="W27" s="28">
        <v>524</v>
      </c>
      <c r="X27" s="29">
        <f>SUM(B27:W27)</f>
        <v>11856</v>
      </c>
      <c r="Z27" s="222"/>
    </row>
    <row r="28" spans="1:35" s="2" customFormat="1" ht="33" customHeight="1" x14ac:dyDescent="0.25">
      <c r="A28" s="150" t="s">
        <v>13</v>
      </c>
      <c r="B28" s="30">
        <f>(B27*B26)/1000</f>
        <v>18.297000000000001</v>
      </c>
      <c r="C28" s="31">
        <f>(C27*C26)/1000</f>
        <v>35.636000000000003</v>
      </c>
      <c r="D28" s="31">
        <f>(D27*D26)/1000</f>
        <v>45.24</v>
      </c>
      <c r="E28" s="31">
        <f>(E27*E26)/1000</f>
        <v>33.854999999999997</v>
      </c>
      <c r="F28" s="31">
        <f>(F27*F26)/1000</f>
        <v>24.784500000000001</v>
      </c>
      <c r="G28" s="31">
        <f t="shared" ref="G28:W28" si="2">(G27*G26)/1000</f>
        <v>17.385000000000002</v>
      </c>
      <c r="H28" s="31">
        <f t="shared" si="2"/>
        <v>41.82</v>
      </c>
      <c r="I28" s="31">
        <f t="shared" si="2"/>
        <v>48.730499999999999</v>
      </c>
      <c r="J28" s="31">
        <f t="shared" si="2"/>
        <v>30.888000000000002</v>
      </c>
      <c r="K28" s="142">
        <f t="shared" si="2"/>
        <v>13.685</v>
      </c>
      <c r="L28" s="30">
        <f t="shared" si="2"/>
        <v>31.891999999999999</v>
      </c>
      <c r="M28" s="31">
        <f t="shared" si="2"/>
        <v>26.555</v>
      </c>
      <c r="N28" s="31">
        <f t="shared" si="2"/>
        <v>26.555</v>
      </c>
      <c r="O28" s="32">
        <f>(O27*O26)/1000</f>
        <v>21.167999999999999</v>
      </c>
      <c r="P28" s="65">
        <f t="shared" si="2"/>
        <v>22.326000000000001</v>
      </c>
      <c r="Q28" s="31">
        <f t="shared" si="2"/>
        <v>37.572000000000003</v>
      </c>
      <c r="R28" s="31">
        <f t="shared" si="2"/>
        <v>38.9255</v>
      </c>
      <c r="S28" s="31">
        <f t="shared" si="2"/>
        <v>34.32</v>
      </c>
      <c r="T28" s="31">
        <f t="shared" si="2"/>
        <v>25.584</v>
      </c>
      <c r="U28" s="31">
        <f t="shared" si="2"/>
        <v>48.921999999999997</v>
      </c>
      <c r="V28" s="31">
        <f t="shared" si="2"/>
        <v>56.204500000000003</v>
      </c>
      <c r="W28" s="32">
        <f t="shared" si="2"/>
        <v>30.654</v>
      </c>
      <c r="X28" s="33">
        <f>((X25*1000)/7)/X27</f>
        <v>59.970840562945824</v>
      </c>
      <c r="Z28" s="43"/>
    </row>
    <row r="29" spans="1:35" ht="33.75" customHeight="1" x14ac:dyDescent="0.25">
      <c r="A29" s="151" t="s">
        <v>14</v>
      </c>
      <c r="B29" s="281">
        <f>((B27*B26)*7)/1000</f>
        <v>128.07900000000001</v>
      </c>
      <c r="C29" s="282">
        <f>((C27*C26)*7)/1000</f>
        <v>249.452</v>
      </c>
      <c r="D29" s="282">
        <f t="shared" ref="D29:W29" si="3">((D27*D26)*7)/1000</f>
        <v>316.68</v>
      </c>
      <c r="E29" s="282">
        <f t="shared" si="3"/>
        <v>236.98500000000001</v>
      </c>
      <c r="F29" s="282">
        <f t="shared" si="3"/>
        <v>173.4915</v>
      </c>
      <c r="G29" s="282">
        <f t="shared" si="3"/>
        <v>121.69499999999999</v>
      </c>
      <c r="H29" s="282">
        <f t="shared" si="3"/>
        <v>292.74</v>
      </c>
      <c r="I29" s="282">
        <f t="shared" si="3"/>
        <v>341.11349999999999</v>
      </c>
      <c r="J29" s="282">
        <f t="shared" si="3"/>
        <v>216.21600000000001</v>
      </c>
      <c r="K29" s="282">
        <f t="shared" si="3"/>
        <v>95.795000000000002</v>
      </c>
      <c r="L29" s="282">
        <f t="shared" si="3"/>
        <v>223.244</v>
      </c>
      <c r="M29" s="282">
        <f t="shared" si="3"/>
        <v>185.88499999999999</v>
      </c>
      <c r="N29" s="282">
        <f t="shared" si="3"/>
        <v>185.88499999999999</v>
      </c>
      <c r="O29" s="282">
        <f t="shared" si="3"/>
        <v>148.17599999999999</v>
      </c>
      <c r="P29" s="282">
        <f t="shared" si="3"/>
        <v>156.28200000000001</v>
      </c>
      <c r="Q29" s="282">
        <f t="shared" si="3"/>
        <v>263.00400000000002</v>
      </c>
      <c r="R29" s="282">
        <f t="shared" si="3"/>
        <v>272.4785</v>
      </c>
      <c r="S29" s="282">
        <f t="shared" si="3"/>
        <v>240.24</v>
      </c>
      <c r="T29" s="282">
        <f t="shared" si="3"/>
        <v>179.08799999999999</v>
      </c>
      <c r="U29" s="282">
        <f t="shared" si="3"/>
        <v>342.45400000000001</v>
      </c>
      <c r="V29" s="282">
        <f t="shared" si="3"/>
        <v>393.43150000000003</v>
      </c>
      <c r="W29" s="282">
        <f t="shared" si="3"/>
        <v>214.578</v>
      </c>
      <c r="X29" s="36"/>
      <c r="Z29" s="41"/>
    </row>
    <row r="30" spans="1:35" ht="33.75" customHeight="1" thickBot="1" x14ac:dyDescent="0.3">
      <c r="A30" s="152" t="s">
        <v>15</v>
      </c>
      <c r="B30" s="37">
        <f>+(B25/B27)/7*1000</f>
        <v>57.009345794392523</v>
      </c>
      <c r="C30" s="38">
        <f t="shared" ref="C30:W30" si="4">+(C25/C27)/7*1000</f>
        <v>59.011352885525064</v>
      </c>
      <c r="D30" s="38">
        <f t="shared" si="4"/>
        <v>60.003789314134139</v>
      </c>
      <c r="E30" s="38">
        <f t="shared" si="4"/>
        <v>61.003861003861012</v>
      </c>
      <c r="F30" s="38">
        <f t="shared" si="4"/>
        <v>61.503013115916339</v>
      </c>
      <c r="G30" s="38">
        <f t="shared" si="4"/>
        <v>61.002506265664167</v>
      </c>
      <c r="H30" s="38">
        <f t="shared" si="4"/>
        <v>59.991801598688255</v>
      </c>
      <c r="I30" s="38">
        <f t="shared" si="4"/>
        <v>59.497645211930923</v>
      </c>
      <c r="J30" s="38">
        <f t="shared" si="4"/>
        <v>58.495670995670991</v>
      </c>
      <c r="K30" s="158">
        <f t="shared" si="4"/>
        <v>57.503001200480199</v>
      </c>
      <c r="L30" s="37">
        <f t="shared" si="4"/>
        <v>59.488272921108738</v>
      </c>
      <c r="M30" s="38">
        <f t="shared" si="4"/>
        <v>56.504559270516722</v>
      </c>
      <c r="N30" s="38">
        <f t="shared" si="4"/>
        <v>56.504559270516722</v>
      </c>
      <c r="O30" s="39">
        <f>+(O25/O27)/7*1000</f>
        <v>54.008746355685133</v>
      </c>
      <c r="P30" s="67">
        <f t="shared" si="4"/>
        <v>61.007025761124112</v>
      </c>
      <c r="Q30" s="38">
        <f t="shared" si="4"/>
        <v>61.999057048562001</v>
      </c>
      <c r="R30" s="38">
        <f t="shared" si="4"/>
        <v>63.50501048706596</v>
      </c>
      <c r="S30" s="38">
        <f t="shared" si="4"/>
        <v>64.989177489177479</v>
      </c>
      <c r="T30" s="38">
        <f t="shared" si="4"/>
        <v>61.50412087912089</v>
      </c>
      <c r="U30" s="38">
        <f t="shared" si="4"/>
        <v>61.008193801211256</v>
      </c>
      <c r="V30" s="38">
        <f t="shared" si="4"/>
        <v>60.495156081808396</v>
      </c>
      <c r="W30" s="39">
        <f t="shared" si="4"/>
        <v>58.505997818974926</v>
      </c>
      <c r="X30" s="40"/>
      <c r="Z30" s="42"/>
    </row>
    <row r="31" spans="1:35" ht="33.75" customHeight="1" x14ac:dyDescent="0.25">
      <c r="A31" s="41"/>
      <c r="B31" s="280">
        <f>B29-B25</f>
        <v>-2.0999999999986585E-2</v>
      </c>
      <c r="C31" s="280">
        <f>C29-C25</f>
        <v>-4.8000000000001819E-2</v>
      </c>
      <c r="D31" s="280">
        <f t="shared" ref="D31:W31" si="5">D29-D25</f>
        <v>-1.999999999998181E-2</v>
      </c>
      <c r="E31" s="280">
        <f t="shared" si="5"/>
        <v>-1.4999999999986358E-2</v>
      </c>
      <c r="F31" s="280">
        <f t="shared" si="5"/>
        <v>-8.4999999999979536E-3</v>
      </c>
      <c r="G31" s="280">
        <f t="shared" si="5"/>
        <v>-5.0000000000238742E-3</v>
      </c>
      <c r="H31" s="280">
        <f t="shared" si="5"/>
        <v>4.0000000000020464E-2</v>
      </c>
      <c r="I31" s="280">
        <f t="shared" si="5"/>
        <v>1.3499999999964984E-2</v>
      </c>
      <c r="J31" s="280">
        <f t="shared" si="5"/>
        <v>1.6000000000019554E-2</v>
      </c>
      <c r="K31" s="280">
        <f t="shared" si="5"/>
        <v>-5.0000000000096634E-3</v>
      </c>
      <c r="L31" s="280">
        <f t="shared" si="5"/>
        <v>4.4000000000011141E-2</v>
      </c>
      <c r="M31" s="280">
        <f t="shared" si="5"/>
        <v>-1.5000000000014779E-2</v>
      </c>
      <c r="N31" s="280">
        <f t="shared" si="5"/>
        <v>-1.5000000000014779E-2</v>
      </c>
      <c r="O31" s="280">
        <f t="shared" si="5"/>
        <v>-2.4000000000000909E-2</v>
      </c>
      <c r="P31" s="280">
        <f t="shared" si="5"/>
        <v>-1.799999999997226E-2</v>
      </c>
      <c r="Q31" s="280">
        <f t="shared" si="5"/>
        <v>4.0000000000190994E-3</v>
      </c>
      <c r="R31" s="280">
        <f t="shared" si="5"/>
        <v>-2.1500000000003183E-2</v>
      </c>
      <c r="S31" s="280">
        <f t="shared" si="5"/>
        <v>4.0000000000020464E-2</v>
      </c>
      <c r="T31" s="280">
        <f t="shared" si="5"/>
        <v>-1.2000000000028876E-2</v>
      </c>
      <c r="U31" s="280">
        <f t="shared" si="5"/>
        <v>-4.5999999999992269E-2</v>
      </c>
      <c r="V31" s="280">
        <f t="shared" si="5"/>
        <v>3.1500000000050932E-2</v>
      </c>
      <c r="W31" s="280">
        <f t="shared" si="5"/>
        <v>-2.2000000000019782E-2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35" t="s">
        <v>8</v>
      </c>
      <c r="C36" s="1036"/>
      <c r="D36" s="1036"/>
      <c r="E36" s="1036"/>
      <c r="F36" s="1036"/>
      <c r="G36" s="1036"/>
      <c r="H36" s="1036"/>
      <c r="I36" s="1036"/>
      <c r="J36" s="1037"/>
      <c r="K36" s="244"/>
      <c r="L36" s="42"/>
      <c r="M36" s="42"/>
      <c r="N36" s="42"/>
      <c r="O36" s="44"/>
      <c r="P36" s="88" t="s">
        <v>18</v>
      </c>
      <c r="Q36" s="1031" t="s">
        <v>8</v>
      </c>
      <c r="R36" s="1032"/>
      <c r="S36" s="1032"/>
      <c r="T36" s="1033"/>
      <c r="U36" s="45"/>
      <c r="V36" s="45"/>
      <c r="W36" s="45"/>
      <c r="X36" s="46"/>
      <c r="Y36" s="3"/>
      <c r="Z36" s="45"/>
      <c r="AA36" s="45"/>
      <c r="AB36" s="45"/>
      <c r="AC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6" t="s">
        <v>9</v>
      </c>
      <c r="U37" s="47"/>
      <c r="V37" s="47"/>
      <c r="W37" s="47"/>
      <c r="X37" s="3"/>
      <c r="Y37" s="46"/>
      <c r="Z37" s="3"/>
      <c r="AA37" s="45"/>
      <c r="AB37" s="45"/>
      <c r="AC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118"/>
      <c r="U38" s="47"/>
      <c r="V38" s="47"/>
      <c r="W38" s="47"/>
      <c r="X38" s="48"/>
      <c r="Y38" s="48"/>
      <c r="Z38" s="2"/>
      <c r="AA38" s="2"/>
      <c r="AB38" s="2"/>
      <c r="AC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21">
        <f>SUM(O39:S39)</f>
        <v>0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5" ht="33.75" customHeight="1" x14ac:dyDescent="0.25">
      <c r="A40" s="146" t="s">
        <v>24</v>
      </c>
      <c r="B40" s="18">
        <v>34.4</v>
      </c>
      <c r="C40" s="19">
        <v>37.4</v>
      </c>
      <c r="D40" s="19">
        <v>37.700000000000003</v>
      </c>
      <c r="E40" s="19">
        <v>41.3</v>
      </c>
      <c r="F40" s="19">
        <v>23.5</v>
      </c>
      <c r="G40" s="19">
        <v>49.2</v>
      </c>
      <c r="H40" s="19">
        <v>50.9</v>
      </c>
      <c r="I40" s="20">
        <v>43</v>
      </c>
      <c r="J40" s="127">
        <f t="shared" si="6"/>
        <v>317.39999999999998</v>
      </c>
      <c r="K40" s="49"/>
      <c r="L40" s="42"/>
      <c r="M40" s="42"/>
      <c r="N40" s="42"/>
      <c r="O40" s="2"/>
      <c r="P40" s="146" t="s">
        <v>24</v>
      </c>
      <c r="Q40" s="205">
        <v>15.718249999999999</v>
      </c>
      <c r="R40" s="217">
        <v>18.596125000000001</v>
      </c>
      <c r="S40" s="217">
        <v>14.555</v>
      </c>
      <c r="T40" s="221">
        <f t="shared" ref="T40:T45" si="7">SUM(P40:S40)</f>
        <v>48.869374999999998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5" ht="33.75" customHeight="1" x14ac:dyDescent="0.25">
      <c r="A41" s="146" t="s">
        <v>20</v>
      </c>
      <c r="B41" s="18">
        <f>((((($B$47*$B$48)/1000)*7)-$B$40)/4)</f>
        <v>33.846249999999998</v>
      </c>
      <c r="C41" s="19">
        <f>((((($C$47*$C$48)/1000)*7)-$C$40)/4)</f>
        <v>36.815874999999998</v>
      </c>
      <c r="D41" s="19">
        <f>((((($D$47*$D$48)/1000)*7)-$D$40)/4)</f>
        <v>37.212499999999991</v>
      </c>
      <c r="E41" s="19">
        <f>((((($E$47*$E$48)/1000)*7)-$E$40)/4)</f>
        <v>40.704999999999998</v>
      </c>
      <c r="F41" s="19">
        <f>((((($F$47*$F$48)/1000)*7)-$F$40)/4)</f>
        <v>23.017500000000002</v>
      </c>
      <c r="G41" s="19">
        <f>((((($G$47*$G$48)/1000)*7)-$G$40)/4)</f>
        <v>48.404000000000011</v>
      </c>
      <c r="H41" s="19">
        <f>((((($H$47*$H$48)/1000)*7)-$H$40)/4)</f>
        <v>50.274999999999999</v>
      </c>
      <c r="I41" s="20">
        <f>((((($I$47*$I$48)/1000)*7)-$I$40)/4)</f>
        <v>42.625</v>
      </c>
      <c r="J41" s="127">
        <f t="shared" si="6"/>
        <v>312.90112499999998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15.440312500000001</v>
      </c>
      <c r="R41" s="217">
        <f>((((($R$47*$R$48)/1000)*7)-$R$40)/4)</f>
        <v>18.422093750000002</v>
      </c>
      <c r="S41" s="217">
        <f>((((($S$47*$S$48)/1000)*7)-$S$40)/4)</f>
        <v>14.491249999999999</v>
      </c>
      <c r="T41" s="221">
        <f t="shared" si="7"/>
        <v>48.353656250000007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5" ht="33.75" customHeight="1" x14ac:dyDescent="0.25">
      <c r="A42" s="146" t="s">
        <v>28</v>
      </c>
      <c r="B42" s="18">
        <f>((((($B$47*$B$48)/1000)*7)-$B$40)/4)</f>
        <v>33.846249999999998</v>
      </c>
      <c r="C42" s="19">
        <f>((((($C$47*$C$48)/1000)*7)-$C$40)/4)</f>
        <v>36.815874999999998</v>
      </c>
      <c r="D42" s="19">
        <f>((((($D$47*$D$48)/1000)*7)-$D$40)/4)</f>
        <v>37.212499999999991</v>
      </c>
      <c r="E42" s="19">
        <f>((((($E$47*$E$48)/1000)*7)-$E$40)/4)</f>
        <v>40.704999999999998</v>
      </c>
      <c r="F42" s="19">
        <f>((((($F$47*$F$48)/1000)*7)-$F$40)/4)</f>
        <v>23.017500000000002</v>
      </c>
      <c r="G42" s="19">
        <f>((((($G$47*$G$48)/1000)*7)-$G$40)/4)</f>
        <v>48.404000000000011</v>
      </c>
      <c r="H42" s="19">
        <f>((((($H$47*$H$48)/1000)*7)-$H$40)/4)</f>
        <v>50.274999999999999</v>
      </c>
      <c r="I42" s="20">
        <f>((((($I$47*$I$48)/1000)*7)-$I$40)/4)</f>
        <v>42.625</v>
      </c>
      <c r="J42" s="127">
        <f t="shared" si="6"/>
        <v>312.90112499999998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15.440312500000001</v>
      </c>
      <c r="R42" s="217">
        <f>((((($R$47*$R$48)/1000)*7)-$R$40)/4)</f>
        <v>18.422093750000002</v>
      </c>
      <c r="S42" s="217">
        <f>((((($S$47*$S$48)/1000)*7)-$S$40)/4)</f>
        <v>14.491249999999999</v>
      </c>
      <c r="T42" s="221">
        <f t="shared" si="7"/>
        <v>48.353656250000007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1">
        <f t="shared" si="7"/>
        <v>0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5" ht="33.75" customHeight="1" x14ac:dyDescent="0.25">
      <c r="A44" s="146" t="s">
        <v>22</v>
      </c>
      <c r="B44" s="18">
        <f>((((($B$47*$B$48)/1000)*7)-$B$40)/4)</f>
        <v>33.846249999999998</v>
      </c>
      <c r="C44" s="19">
        <f>((((($C$47*$C$48)/1000)*7)-$C$40)/4)</f>
        <v>36.815874999999998</v>
      </c>
      <c r="D44" s="19">
        <f>((((($D$47*$D$48)/1000)*7)-$D$40)/4)</f>
        <v>37.212499999999991</v>
      </c>
      <c r="E44" s="19">
        <f>((((($E$47*$E$48)/1000)*7)-$E$40)/4)</f>
        <v>40.704999999999998</v>
      </c>
      <c r="F44" s="19">
        <f>((((($F$47*$F$48)/1000)*7)-$F$40)/4)</f>
        <v>23.017500000000002</v>
      </c>
      <c r="G44" s="19">
        <f>((((($G$47*$G$48)/1000)*7)-$G$40)/4)</f>
        <v>48.404000000000011</v>
      </c>
      <c r="H44" s="19">
        <f>((((($H$47*$H$48)/1000)*7)-$H$40)/4)</f>
        <v>50.274999999999999</v>
      </c>
      <c r="I44" s="20">
        <f>((((($I$47*$I$48)/1000)*7)-$I$40)/4)</f>
        <v>42.625</v>
      </c>
      <c r="J44" s="127">
        <f t="shared" si="6"/>
        <v>312.90112499999998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15.440312500000001</v>
      </c>
      <c r="R44" s="217">
        <f>((((($R$47*$R$48)/1000)*7)-$R$40)/4)</f>
        <v>18.422093750000002</v>
      </c>
      <c r="S44" s="217">
        <f>((((($S$47*$S$48)/1000)*7)-$S$40)/4)</f>
        <v>14.491249999999999</v>
      </c>
      <c r="T44" s="221">
        <f t="shared" si="7"/>
        <v>48.353656250000007</v>
      </c>
      <c r="U44" s="49"/>
      <c r="V44" s="2"/>
      <c r="W44" s="49"/>
      <c r="X44" s="48"/>
      <c r="Y44" s="48"/>
      <c r="Z44" s="2"/>
      <c r="AA44" s="2"/>
      <c r="AB44" s="2"/>
      <c r="AC44" s="2"/>
    </row>
    <row r="45" spans="1:35" ht="33.75" customHeight="1" thickBot="1" x14ac:dyDescent="0.3">
      <c r="A45" s="146" t="s">
        <v>23</v>
      </c>
      <c r="B45" s="226">
        <f>((((($B$47*$B$48)/1000)*7)-$B$40)/4)</f>
        <v>33.846249999999998</v>
      </c>
      <c r="C45" s="227">
        <f>((((($C$47*$C$48)/1000)*7)-$C$40)/4)</f>
        <v>36.815874999999998</v>
      </c>
      <c r="D45" s="227">
        <f>((((($D$47*$D$48)/1000)*7)-$D$40)/4)</f>
        <v>37.212499999999991</v>
      </c>
      <c r="E45" s="227">
        <f>((((($E$47*$E$48)/1000)*7)-$E$40)/4)</f>
        <v>40.704999999999998</v>
      </c>
      <c r="F45" s="227">
        <f>((((($F$47*$F$48)/1000)*7)-$F$40)/4)</f>
        <v>23.017500000000002</v>
      </c>
      <c r="G45" s="227">
        <f>((((($G$47*$G$48)/1000)*7)-$G$40)/4)</f>
        <v>48.404000000000011</v>
      </c>
      <c r="H45" s="227">
        <f>((((($H$47*$H$48)/1000)*7)-$H$40)/4)</f>
        <v>50.274999999999999</v>
      </c>
      <c r="I45" s="228">
        <f>((((($I$47*$I$48)/1000)*7)-$I$40)/4)</f>
        <v>42.625</v>
      </c>
      <c r="J45" s="274">
        <f t="shared" si="6"/>
        <v>312.90112499999998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15.440312500000001</v>
      </c>
      <c r="R45" s="245">
        <f>((((($R$47*$R$48)/1000)*7)-$R$40)/4)</f>
        <v>18.422093750000002</v>
      </c>
      <c r="S45" s="245">
        <f>((((($S$47*$S$48)/1000)*7)-$S$40)/4)</f>
        <v>14.491249999999999</v>
      </c>
      <c r="T45" s="262">
        <f t="shared" si="7"/>
        <v>48.353656250000007</v>
      </c>
      <c r="U45" s="49"/>
      <c r="V45" s="2"/>
      <c r="W45" s="49"/>
      <c r="X45" s="48"/>
      <c r="Y45" s="48"/>
      <c r="Z45" s="48"/>
      <c r="AA45" s="48"/>
      <c r="AB45" s="2"/>
      <c r="AC45" s="2"/>
      <c r="AD45" s="2"/>
      <c r="AE45" s="2"/>
    </row>
    <row r="46" spans="1:35" ht="33.75" customHeight="1" x14ac:dyDescent="0.25">
      <c r="A46" s="145" t="s">
        <v>9</v>
      </c>
      <c r="B46" s="225">
        <f t="shared" ref="B46:I46" si="8">SUM(B39:B45)</f>
        <v>169.785</v>
      </c>
      <c r="C46" s="201">
        <f t="shared" si="8"/>
        <v>184.6635</v>
      </c>
      <c r="D46" s="201">
        <f t="shared" si="8"/>
        <v>186.54999999999995</v>
      </c>
      <c r="E46" s="201">
        <f t="shared" si="8"/>
        <v>204.12</v>
      </c>
      <c r="F46" s="201">
        <f t="shared" si="8"/>
        <v>115.57</v>
      </c>
      <c r="G46" s="201">
        <f t="shared" si="8"/>
        <v>242.81600000000003</v>
      </c>
      <c r="H46" s="201">
        <f t="shared" si="8"/>
        <v>252</v>
      </c>
      <c r="I46" s="273">
        <f t="shared" si="8"/>
        <v>213.5</v>
      </c>
      <c r="J46" s="252">
        <f t="shared" si="6"/>
        <v>1569.0045</v>
      </c>
      <c r="K46" s="49"/>
      <c r="L46" s="42"/>
      <c r="M46" s="42"/>
      <c r="N46" s="42"/>
      <c r="P46" s="80" t="s">
        <v>9</v>
      </c>
      <c r="Q46" s="200">
        <f>SUM(Q39:Q45)</f>
        <v>77.479500000000016</v>
      </c>
      <c r="R46" s="201">
        <f>SUM(R39:R45)</f>
        <v>92.284500000000008</v>
      </c>
      <c r="S46" s="201">
        <f>SUM(S39:S45)</f>
        <v>72.52</v>
      </c>
      <c r="T46" s="252">
        <f>SUM(Q46:S46)</f>
        <v>242.28399999999999</v>
      </c>
      <c r="U46" s="49"/>
      <c r="V46" s="49"/>
      <c r="W46" s="49"/>
      <c r="X46" s="2"/>
      <c r="Y46" s="2"/>
      <c r="Z46" s="2"/>
      <c r="AA46" s="2"/>
      <c r="AB46" s="2"/>
      <c r="AC46" s="2"/>
      <c r="AD46" s="2"/>
      <c r="AE46" s="2"/>
    </row>
    <row r="47" spans="1:35" ht="33.75" customHeight="1" x14ac:dyDescent="0.25">
      <c r="A47" s="148" t="s">
        <v>11</v>
      </c>
      <c r="B47" s="23">
        <v>63</v>
      </c>
      <c r="C47" s="24">
        <v>64.5</v>
      </c>
      <c r="D47" s="24">
        <v>65</v>
      </c>
      <c r="E47" s="24">
        <v>67.5</v>
      </c>
      <c r="F47" s="24">
        <v>65</v>
      </c>
      <c r="G47" s="24">
        <v>64</v>
      </c>
      <c r="H47" s="24">
        <v>62.5</v>
      </c>
      <c r="I47" s="25">
        <v>61</v>
      </c>
      <c r="J47" s="234">
        <f>+((J46/J48)/7)*1000</f>
        <v>63.894954389965797</v>
      </c>
      <c r="K47" s="50"/>
      <c r="L47" s="49"/>
      <c r="M47" s="49"/>
      <c r="N47" s="49"/>
      <c r="P47" s="93" t="s">
        <v>11</v>
      </c>
      <c r="Q47" s="63">
        <v>70.5</v>
      </c>
      <c r="R47" s="24">
        <v>70.5</v>
      </c>
      <c r="S47" s="24">
        <v>70</v>
      </c>
      <c r="T47" s="234">
        <f>+((T46/T48)/7)*1000</f>
        <v>70.349593495934968</v>
      </c>
      <c r="U47" s="50"/>
      <c r="V47" s="50"/>
      <c r="W47" s="50"/>
    </row>
    <row r="48" spans="1:35" ht="33.75" customHeight="1" x14ac:dyDescent="0.25">
      <c r="A48" s="149" t="s">
        <v>12</v>
      </c>
      <c r="B48" s="26">
        <v>385</v>
      </c>
      <c r="C48" s="27">
        <v>409</v>
      </c>
      <c r="D48" s="27">
        <v>410</v>
      </c>
      <c r="E48" s="27">
        <v>432</v>
      </c>
      <c r="F48" s="27">
        <v>254</v>
      </c>
      <c r="G48" s="27">
        <v>542</v>
      </c>
      <c r="H48" s="27">
        <v>576</v>
      </c>
      <c r="I48" s="28">
        <v>500</v>
      </c>
      <c r="J48" s="256">
        <f>SUM(B48:I48)</f>
        <v>3508</v>
      </c>
      <c r="K48" s="191"/>
      <c r="L48" s="49"/>
      <c r="M48" s="49"/>
      <c r="N48" s="49"/>
      <c r="O48" s="51"/>
      <c r="P48" s="71" t="s">
        <v>12</v>
      </c>
      <c r="Q48" s="79">
        <v>157</v>
      </c>
      <c r="R48" s="79">
        <v>187</v>
      </c>
      <c r="S48" s="79">
        <v>148</v>
      </c>
      <c r="T48" s="235">
        <f>SUM(Q48:S48)</f>
        <v>492</v>
      </c>
      <c r="U48" s="52"/>
      <c r="V48" s="52"/>
      <c r="W48" s="52"/>
    </row>
    <row r="49" spans="1:35" ht="33.75" customHeight="1" x14ac:dyDescent="0.25">
      <c r="A49" s="150" t="s">
        <v>13</v>
      </c>
      <c r="B49" s="30">
        <f t="shared" ref="B49:I49" si="9">(B48*B47)/1000</f>
        <v>24.254999999999999</v>
      </c>
      <c r="C49" s="31">
        <f t="shared" si="9"/>
        <v>26.380500000000001</v>
      </c>
      <c r="D49" s="31">
        <f t="shared" si="9"/>
        <v>26.65</v>
      </c>
      <c r="E49" s="31">
        <f t="shared" si="9"/>
        <v>29.16</v>
      </c>
      <c r="F49" s="31">
        <f t="shared" si="9"/>
        <v>16.510000000000002</v>
      </c>
      <c r="G49" s="31">
        <f t="shared" si="9"/>
        <v>34.688000000000002</v>
      </c>
      <c r="H49" s="31">
        <f t="shared" si="9"/>
        <v>36</v>
      </c>
      <c r="I49" s="32">
        <f t="shared" si="9"/>
        <v>30.5</v>
      </c>
      <c r="J49" s="257">
        <f>((J46*1000)/J48)/7</f>
        <v>63.89495438996579</v>
      </c>
      <c r="K49" s="192"/>
      <c r="L49" s="49"/>
      <c r="M49" s="49"/>
      <c r="N49" s="49"/>
      <c r="P49" s="72" t="s">
        <v>13</v>
      </c>
      <c r="Q49" s="65">
        <f>(Q48*Q47)/1000</f>
        <v>11.0685</v>
      </c>
      <c r="R49" s="31">
        <f>(R48*R47)/1000</f>
        <v>13.1835</v>
      </c>
      <c r="S49" s="31">
        <f>(S48*S47)/1000</f>
        <v>10.36</v>
      </c>
      <c r="T49" s="253">
        <f>((T46*1000)/T48)/7</f>
        <v>70.349593495934954</v>
      </c>
      <c r="U49" s="192"/>
      <c r="V49" s="52"/>
      <c r="W49" s="52"/>
    </row>
    <row r="50" spans="1:35" ht="33.75" customHeight="1" x14ac:dyDescent="0.25">
      <c r="A50" s="151" t="s">
        <v>14</v>
      </c>
      <c r="B50" s="34">
        <f t="shared" ref="B50:I50" si="10">((B48*B47)*7)/1000</f>
        <v>169.785</v>
      </c>
      <c r="C50" s="35">
        <f t="shared" si="10"/>
        <v>184.6635</v>
      </c>
      <c r="D50" s="35">
        <f t="shared" si="10"/>
        <v>186.55</v>
      </c>
      <c r="E50" s="35">
        <f t="shared" si="10"/>
        <v>204.12</v>
      </c>
      <c r="F50" s="35">
        <f t="shared" si="10"/>
        <v>115.57</v>
      </c>
      <c r="G50" s="35">
        <f t="shared" si="10"/>
        <v>242.816</v>
      </c>
      <c r="H50" s="35">
        <f t="shared" si="10"/>
        <v>252</v>
      </c>
      <c r="I50" s="68">
        <f t="shared" si="10"/>
        <v>213.5</v>
      </c>
      <c r="J50" s="73"/>
      <c r="K50" s="41"/>
      <c r="L50" s="49"/>
      <c r="M50" s="49"/>
      <c r="N50" s="49"/>
      <c r="P50" s="73" t="s">
        <v>14</v>
      </c>
      <c r="Q50" s="66">
        <f>((Q48*Q47)*7)/1000</f>
        <v>77.479500000000002</v>
      </c>
      <c r="R50" s="35">
        <f>((R48*R47)*7)/1000</f>
        <v>92.284499999999994</v>
      </c>
      <c r="S50" s="35">
        <f>((S48*S47)*7)/1000</f>
        <v>72.52</v>
      </c>
      <c r="T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63</v>
      </c>
      <c r="C51" s="38">
        <f t="shared" si="11"/>
        <v>64.5</v>
      </c>
      <c r="D51" s="38">
        <f t="shared" si="11"/>
        <v>64.999999999999986</v>
      </c>
      <c r="E51" s="38">
        <f t="shared" si="11"/>
        <v>67.5</v>
      </c>
      <c r="F51" s="38">
        <f t="shared" si="11"/>
        <v>64.999999999999986</v>
      </c>
      <c r="G51" s="38">
        <f t="shared" si="11"/>
        <v>64.000000000000014</v>
      </c>
      <c r="H51" s="38">
        <f t="shared" si="11"/>
        <v>62.5</v>
      </c>
      <c r="I51" s="39">
        <f t="shared" si="11"/>
        <v>61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70.500000000000014</v>
      </c>
      <c r="R51" s="38">
        <f>+(R46/R48)/7*1000</f>
        <v>70.5</v>
      </c>
      <c r="S51" s="38">
        <f>+(S46/S48)/7*1000</f>
        <v>69.999999999999986</v>
      </c>
      <c r="T51" s="255"/>
      <c r="U51" s="42"/>
      <c r="V51" s="42"/>
      <c r="W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8"/>
      <c r="P54" s="1018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35" t="s">
        <v>63</v>
      </c>
      <c r="C55" s="1036"/>
      <c r="D55" s="1036"/>
      <c r="E55" s="1036"/>
      <c r="F55" s="1036"/>
      <c r="G55" s="1037"/>
      <c r="H55" s="56"/>
      <c r="J55" s="56"/>
      <c r="K55" s="56"/>
      <c r="L55" s="56"/>
      <c r="M55" s="56"/>
      <c r="X55" s="43"/>
      <c r="Y55" s="43"/>
      <c r="Z55" s="43"/>
      <c r="AA55" s="2"/>
      <c r="AB55" s="2"/>
      <c r="AC55" s="2"/>
      <c r="AD55" s="2"/>
      <c r="AF55" s="2"/>
      <c r="AG55" s="2"/>
      <c r="AH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238" t="s">
        <v>9</v>
      </c>
      <c r="K56" s="45"/>
      <c r="L56" s="45"/>
      <c r="M56" s="45"/>
      <c r="N56" s="45"/>
      <c r="O56" s="45"/>
      <c r="P56" s="45"/>
      <c r="Q56" s="57"/>
      <c r="R56" s="57"/>
      <c r="S56" s="57"/>
      <c r="T56" s="45"/>
      <c r="U56" s="45"/>
      <c r="V56" s="58"/>
      <c r="W56" s="58"/>
      <c r="X56" s="58"/>
      <c r="Y56" s="2"/>
      <c r="Z56" s="2"/>
      <c r="AA56" s="2"/>
      <c r="AB56" s="2"/>
      <c r="AD56" s="2"/>
      <c r="AE56" s="2"/>
      <c r="AF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18"/>
      <c r="H57" s="45"/>
      <c r="J57" s="45"/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C57" s="2"/>
      <c r="AD57" s="2"/>
      <c r="AE57" s="2"/>
      <c r="AF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21">
        <f t="shared" ref="G58:G64" si="12">SUM(B58:F58)</f>
        <v>0</v>
      </c>
      <c r="H58" s="42"/>
      <c r="J58" s="42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24</v>
      </c>
      <c r="B59" s="61">
        <v>25.09375</v>
      </c>
      <c r="C59" s="61">
        <v>43.3</v>
      </c>
      <c r="D59" s="61">
        <v>39.9</v>
      </c>
      <c r="E59" s="61">
        <v>34.700000000000003</v>
      </c>
      <c r="F59" s="61">
        <v>37.862499999999997</v>
      </c>
      <c r="G59" s="221">
        <f t="shared" si="12"/>
        <v>180.85624999999999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20</v>
      </c>
      <c r="B60" s="61">
        <f>((((($B$66*$B$67)/1000)*7)-$B$59)/4)</f>
        <v>24.920312499999998</v>
      </c>
      <c r="C60" s="61">
        <f>((((($C$66*$C$67)/1000)*7)-$C$59)/4)</f>
        <v>42.882500000000007</v>
      </c>
      <c r="D60" s="61">
        <f>((((($D$66*$D$67)/1000)*7)-$D$59)/4)</f>
        <v>39.478249999999996</v>
      </c>
      <c r="E60" s="61">
        <f>((((($E$66*$E$67)/1000)*7)-$E$59)/4)</f>
        <v>34.310249999999996</v>
      </c>
      <c r="F60" s="61">
        <f>((((($F$66*$F$67)/1000)*7)-$F$59)/4)</f>
        <v>37.696875000000006</v>
      </c>
      <c r="G60" s="221">
        <f t="shared" si="12"/>
        <v>179.28818749999999</v>
      </c>
      <c r="H60" s="42"/>
      <c r="I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28</v>
      </c>
      <c r="B61" s="61">
        <f>((((($B$66*$B$67)/1000)*7)-$B$59)/4)</f>
        <v>24.920312499999998</v>
      </c>
      <c r="C61" s="61">
        <f>((((($C$66*$C$67)/1000)*7)-$C$59)/4)</f>
        <v>42.882500000000007</v>
      </c>
      <c r="D61" s="61">
        <f>((((($D$66*$D$67)/1000)*7)-$D$59)/4)</f>
        <v>39.478249999999996</v>
      </c>
      <c r="E61" s="61">
        <f>((((($E$66*$E$67)/1000)*7)-$E$59)/4)</f>
        <v>34.310249999999996</v>
      </c>
      <c r="F61" s="61">
        <f>((((($F$66*$F$67)/1000)*7)-$F$59)/4)</f>
        <v>37.696875000000006</v>
      </c>
      <c r="G61" s="221">
        <f t="shared" si="12"/>
        <v>179.28818749999999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3"/>
      <c r="Z61" s="3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21">
        <f t="shared" si="12"/>
        <v>0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22</v>
      </c>
      <c r="B63" s="61">
        <f>((((($B$66*$B$67)/1000)*7)-$B$59)/4)</f>
        <v>24.920312499999998</v>
      </c>
      <c r="C63" s="61">
        <f>((((($C$66*$C$67)/1000)*7)-$C$59)/4)</f>
        <v>42.882500000000007</v>
      </c>
      <c r="D63" s="61">
        <f>((((($D$66*$D$67)/1000)*7)-$D$59)/4)</f>
        <v>39.478249999999996</v>
      </c>
      <c r="E63" s="61">
        <f>((((($E$66*$E$67)/1000)*7)-$E$59)/4)</f>
        <v>34.310249999999996</v>
      </c>
      <c r="F63" s="61">
        <f>((((($F$66*$F$67)/1000)*7)-$F$59)/4)</f>
        <v>37.696875000000006</v>
      </c>
      <c r="G63" s="221">
        <f t="shared" si="12"/>
        <v>179.28818749999999</v>
      </c>
      <c r="H63" s="42"/>
      <c r="I63" s="42"/>
      <c r="J63" s="42"/>
      <c r="K63" s="2"/>
      <c r="L63" s="2"/>
      <c r="M63" s="2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3"/>
      <c r="Z63" s="3"/>
      <c r="AC63" s="2"/>
      <c r="AD63" s="2"/>
      <c r="AE63" s="2"/>
      <c r="AF63" s="2"/>
    </row>
    <row r="64" spans="1:35" ht="33.75" customHeight="1" thickBot="1" x14ac:dyDescent="0.3">
      <c r="A64" s="96" t="s">
        <v>23</v>
      </c>
      <c r="B64" s="269">
        <f>((((($B$66*$B$67)/1000)*7)-$B$59)/4)</f>
        <v>24.920312499999998</v>
      </c>
      <c r="C64" s="269">
        <f>((((($C$66*$C$67)/1000)*7)-$C$59)/4)</f>
        <v>42.882500000000007</v>
      </c>
      <c r="D64" s="61">
        <f>((((($D$66*$D$67)/1000)*7)-$D$59)/4)</f>
        <v>39.478249999999996</v>
      </c>
      <c r="E64" s="61">
        <f>((((($E$66*$E$67)/1000)*7)-$E$59)/4)</f>
        <v>34.310249999999996</v>
      </c>
      <c r="F64" s="61">
        <f>((((($F$66*$F$67)/1000)*7)-$F$59)/4)</f>
        <v>37.696875000000006</v>
      </c>
      <c r="G64" s="262">
        <f t="shared" si="12"/>
        <v>179.28818749999999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x14ac:dyDescent="0.25">
      <c r="A65" s="145" t="s">
        <v>9</v>
      </c>
      <c r="B65" s="122">
        <f t="shared" ref="B65:G65" si="13">SUM(B58:B64)</f>
        <v>124.77499999999998</v>
      </c>
      <c r="C65" s="120">
        <f t="shared" si="13"/>
        <v>214.82999999999998</v>
      </c>
      <c r="D65" s="120">
        <f t="shared" si="13"/>
        <v>197.81299999999999</v>
      </c>
      <c r="E65" s="120">
        <f t="shared" si="13"/>
        <v>171.94099999999997</v>
      </c>
      <c r="F65" s="120">
        <f t="shared" si="13"/>
        <v>188.65</v>
      </c>
      <c r="G65" s="275">
        <f t="shared" si="13"/>
        <v>898.00900000000001</v>
      </c>
      <c r="H65" s="243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A65" s="3"/>
      <c r="AB65" s="3"/>
      <c r="AC65" s="2"/>
      <c r="AD65" s="2"/>
      <c r="AE65" s="2"/>
      <c r="AF65" s="2"/>
    </row>
    <row r="66" spans="1:32" ht="33.75" customHeight="1" x14ac:dyDescent="0.25">
      <c r="A66" s="148" t="s">
        <v>11</v>
      </c>
      <c r="B66" s="23">
        <v>77.5</v>
      </c>
      <c r="C66" s="24">
        <v>77.5</v>
      </c>
      <c r="D66" s="24">
        <v>77</v>
      </c>
      <c r="E66" s="24">
        <v>77</v>
      </c>
      <c r="F66" s="24">
        <v>77</v>
      </c>
      <c r="G66" s="128">
        <f>+((G65/G67)/7)*1000</f>
        <v>77.188327316486152</v>
      </c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9" t="s">
        <v>12</v>
      </c>
      <c r="B67" s="241">
        <v>230</v>
      </c>
      <c r="C67" s="278">
        <v>396</v>
      </c>
      <c r="D67" s="278">
        <v>367</v>
      </c>
      <c r="E67" s="278">
        <v>319</v>
      </c>
      <c r="F67" s="278">
        <v>350</v>
      </c>
      <c r="G67" s="276">
        <f>SUM(B67:F67)</f>
        <v>1662</v>
      </c>
      <c r="K67" s="59"/>
      <c r="L67" s="59"/>
      <c r="M67" s="59"/>
      <c r="Q67" s="3"/>
      <c r="R67" s="3"/>
      <c r="S67" s="3"/>
      <c r="T67" s="3"/>
      <c r="U67" s="3"/>
    </row>
    <row r="68" spans="1:32" ht="33.75" customHeight="1" x14ac:dyDescent="0.25">
      <c r="A68" s="150" t="s">
        <v>13</v>
      </c>
      <c r="B68" s="30">
        <f>(B67*B66)/1000</f>
        <v>17.824999999999999</v>
      </c>
      <c r="C68" s="31">
        <f>(C67*C66)/1000</f>
        <v>30.69</v>
      </c>
      <c r="D68" s="31">
        <f>(D67*D66)/1000</f>
        <v>28.259</v>
      </c>
      <c r="E68" s="31">
        <f>(E67*E66)/1000</f>
        <v>24.562999999999999</v>
      </c>
      <c r="F68" s="31">
        <f>(F67*F66)/1000</f>
        <v>26.95</v>
      </c>
      <c r="G68" s="277">
        <f>((G65*1000)/G67)/7</f>
        <v>77.188327316486166</v>
      </c>
      <c r="Q68" s="3"/>
      <c r="R68" s="3"/>
      <c r="S68" s="3"/>
      <c r="T68" s="3"/>
      <c r="U68" s="3"/>
    </row>
    <row r="69" spans="1:32" ht="33.75" customHeight="1" x14ac:dyDescent="0.25">
      <c r="A69" s="151" t="s">
        <v>14</v>
      </c>
      <c r="B69" s="34">
        <f>((B67*B66)*7)/1000</f>
        <v>124.77500000000001</v>
      </c>
      <c r="C69" s="35">
        <f>((C67*C66)*7)/1000</f>
        <v>214.83</v>
      </c>
      <c r="D69" s="35">
        <f>((D67*D66)*7)/1000</f>
        <v>197.81299999999999</v>
      </c>
      <c r="E69" s="35">
        <f>((E67*E66)*7)/1000</f>
        <v>171.941</v>
      </c>
      <c r="F69" s="35">
        <f>((F67*F66)*7)/1000</f>
        <v>188.65</v>
      </c>
      <c r="G69" s="108"/>
      <c r="H69" s="41"/>
      <c r="I69" s="41"/>
      <c r="J69" s="41"/>
      <c r="U69" s="3"/>
    </row>
    <row r="70" spans="1:32" ht="33.75" customHeight="1" thickBot="1" x14ac:dyDescent="0.3">
      <c r="A70" s="152" t="s">
        <v>15</v>
      </c>
      <c r="B70" s="37">
        <f>+(B65/B67)/7*1000</f>
        <v>77.499999999999986</v>
      </c>
      <c r="C70" s="38">
        <f>+(C65/C67)/7*1000</f>
        <v>77.5</v>
      </c>
      <c r="D70" s="38">
        <f>+(D65/D67)/7*1000</f>
        <v>76.999999999999986</v>
      </c>
      <c r="E70" s="38">
        <f>+(E65/E67)/7*1000</f>
        <v>76.999999999999986</v>
      </c>
      <c r="F70" s="38">
        <f>+(F65/F67)/7*1000</f>
        <v>77</v>
      </c>
      <c r="G70" s="40"/>
      <c r="U70" s="3"/>
    </row>
    <row r="71" spans="1:32" ht="33.75" customHeight="1" x14ac:dyDescent="0.25"/>
    <row r="72" spans="1:32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2" ht="33.75" customHeight="1" x14ac:dyDescent="0.25"/>
    <row r="74" spans="1:32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2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O54:P54"/>
    <mergeCell ref="Q36:T36"/>
    <mergeCell ref="B55:G55"/>
    <mergeCell ref="A3:C3"/>
    <mergeCell ref="E9:G9"/>
    <mergeCell ref="W9:X9"/>
    <mergeCell ref="P11:Q11"/>
    <mergeCell ref="B15:K15"/>
    <mergeCell ref="L15:O15"/>
    <mergeCell ref="P15:X15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/>
  <dimension ref="A1:AJ241"/>
  <sheetViews>
    <sheetView topLeftCell="F8" zoomScale="30" zoomScaleNormal="30" workbookViewId="0">
      <selection activeCell="P20" sqref="P20:W20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68</v>
      </c>
      <c r="Q11" s="1022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1038" t="s">
        <v>63</v>
      </c>
      <c r="M15" s="1028"/>
      <c r="N15" s="1028"/>
      <c r="O15" s="1029"/>
      <c r="P15" s="1038" t="s">
        <v>8</v>
      </c>
      <c r="Q15" s="1028"/>
      <c r="R15" s="1028"/>
      <c r="S15" s="1028"/>
      <c r="T15" s="1028"/>
      <c r="U15" s="1028"/>
      <c r="V15" s="1028"/>
      <c r="W15" s="1028"/>
      <c r="X15" s="1028"/>
      <c r="Y15" s="1029"/>
      <c r="AA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118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298"/>
      <c r="Q18" s="289"/>
      <c r="R18" s="289"/>
      <c r="S18" s="289"/>
      <c r="T18" s="289"/>
      <c r="U18" s="289"/>
      <c r="V18" s="289"/>
      <c r="W18" s="290"/>
      <c r="X18" s="316"/>
      <c r="Y18" s="299">
        <f t="shared" ref="Y18:Y24" si="0">SUM(B18:W18)</f>
        <v>0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61">
        <v>31.6</v>
      </c>
      <c r="Q19" s="19">
        <v>53.1</v>
      </c>
      <c r="R19" s="19">
        <v>55</v>
      </c>
      <c r="S19" s="19">
        <v>48.5</v>
      </c>
      <c r="T19" s="19">
        <v>36.200000000000003</v>
      </c>
      <c r="U19" s="19">
        <v>69.3</v>
      </c>
      <c r="V19" s="19">
        <v>79.7</v>
      </c>
      <c r="W19" s="20">
        <v>43.3</v>
      </c>
      <c r="X19" s="94"/>
      <c r="Y19" s="98">
        <f t="shared" si="0"/>
        <v>1006.9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61">
        <v>33.700000000000003</v>
      </c>
      <c r="Q20" s="19">
        <v>56.2</v>
      </c>
      <c r="R20" s="19">
        <v>59.2</v>
      </c>
      <c r="S20" s="19">
        <v>51.6</v>
      </c>
      <c r="T20" s="19">
        <v>38.6</v>
      </c>
      <c r="U20" s="19">
        <v>73.8</v>
      </c>
      <c r="V20" s="19">
        <v>84.9</v>
      </c>
      <c r="W20" s="20">
        <v>45.9</v>
      </c>
      <c r="X20" s="94"/>
      <c r="Y20" s="98">
        <f t="shared" si="0"/>
        <v>1076.6000000000004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61">
        <v>33.700000000000003</v>
      </c>
      <c r="Q21" s="19">
        <v>56.2</v>
      </c>
      <c r="R21" s="19">
        <v>59.2</v>
      </c>
      <c r="S21" s="19">
        <v>51.6</v>
      </c>
      <c r="T21" s="19">
        <v>38.6</v>
      </c>
      <c r="U21" s="19">
        <v>73.8</v>
      </c>
      <c r="V21" s="19">
        <v>84.9</v>
      </c>
      <c r="W21" s="20">
        <v>45.9</v>
      </c>
      <c r="X21" s="94"/>
      <c r="Y21" s="98">
        <f t="shared" si="0"/>
        <v>1077.4000000000001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301"/>
      <c r="Q22" s="292"/>
      <c r="R22" s="292"/>
      <c r="S22" s="292"/>
      <c r="T22" s="292"/>
      <c r="U22" s="292"/>
      <c r="V22" s="292"/>
      <c r="W22" s="293"/>
      <c r="X22" s="317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61">
        <v>33.700000000000003</v>
      </c>
      <c r="Q23" s="19">
        <v>56.2</v>
      </c>
      <c r="R23" s="19">
        <v>59.2</v>
      </c>
      <c r="S23" s="19">
        <v>51.6</v>
      </c>
      <c r="T23" s="19">
        <v>38.6</v>
      </c>
      <c r="U23" s="19">
        <v>73.8</v>
      </c>
      <c r="V23" s="19">
        <v>84.9</v>
      </c>
      <c r="W23" s="20">
        <v>45.9</v>
      </c>
      <c r="X23" s="94"/>
      <c r="Y23" s="98">
        <f t="shared" si="0"/>
        <v>1077.6000000000001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61">
        <v>33.799999999999997</v>
      </c>
      <c r="Q24" s="19">
        <v>56.2</v>
      </c>
      <c r="R24" s="19">
        <v>59.2</v>
      </c>
      <c r="S24" s="19">
        <v>51.7</v>
      </c>
      <c r="T24" s="19">
        <v>38.700000000000003</v>
      </c>
      <c r="U24" s="19">
        <v>73.8</v>
      </c>
      <c r="V24" s="19">
        <v>85</v>
      </c>
      <c r="W24" s="20">
        <v>46</v>
      </c>
      <c r="X24" s="318"/>
      <c r="Y24" s="272">
        <f t="shared" si="0"/>
        <v>1078.0999999999999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W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19">
        <f t="shared" si="1"/>
        <v>166.5</v>
      </c>
      <c r="Q25" s="120">
        <f t="shared" si="1"/>
        <v>277.89999999999998</v>
      </c>
      <c r="R25" s="120">
        <f t="shared" si="1"/>
        <v>291.8</v>
      </c>
      <c r="S25" s="120">
        <f t="shared" si="1"/>
        <v>255</v>
      </c>
      <c r="T25" s="120">
        <f t="shared" si="1"/>
        <v>190.7</v>
      </c>
      <c r="U25" s="120">
        <f t="shared" si="1"/>
        <v>364.5</v>
      </c>
      <c r="V25" s="120">
        <f t="shared" si="1"/>
        <v>419.40000000000003</v>
      </c>
      <c r="W25" s="121">
        <f t="shared" si="1"/>
        <v>227</v>
      </c>
      <c r="X25" s="319"/>
      <c r="Y25" s="263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63">
        <v>65</v>
      </c>
      <c r="Q26" s="24">
        <v>65.5</v>
      </c>
      <c r="R26" s="24">
        <v>68</v>
      </c>
      <c r="S26" s="24">
        <v>69</v>
      </c>
      <c r="T26" s="24">
        <v>65.5</v>
      </c>
      <c r="U26" s="24">
        <v>65</v>
      </c>
      <c r="V26" s="24">
        <v>64.5</v>
      </c>
      <c r="W26" s="25">
        <v>62</v>
      </c>
      <c r="X26" s="320"/>
      <c r="Y26" s="99">
        <f>((Y25/Y27)/7)*1000</f>
        <v>64.104851934021426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801</v>
      </c>
      <c r="V27" s="27">
        <v>929</v>
      </c>
      <c r="W27" s="28">
        <v>523</v>
      </c>
      <c r="X27" s="321"/>
      <c r="Y27" s="29">
        <f>SUM(B27:W27)</f>
        <v>11848</v>
      </c>
      <c r="AA27" s="222"/>
    </row>
    <row r="28" spans="1:36" s="2" customFormat="1" ht="33" customHeight="1" x14ac:dyDescent="0.25">
      <c r="A28" s="150" t="s">
        <v>13</v>
      </c>
      <c r="B28" s="30">
        <f>(B27*B26)/1000</f>
        <v>19.741499999999998</v>
      </c>
      <c r="C28" s="31">
        <f>(C27*C26)/1000</f>
        <v>38.290500000000002</v>
      </c>
      <c r="D28" s="31">
        <f>(D27*D26)/1000</f>
        <v>48.633000000000003</v>
      </c>
      <c r="E28" s="31">
        <f>(E27*E26)/1000</f>
        <v>36.352499999999999</v>
      </c>
      <c r="F28" s="31">
        <f>(F27*F26)/1000</f>
        <v>26.3965</v>
      </c>
      <c r="G28" s="31">
        <f t="shared" ref="G28:W28" si="2">(G27*G26)/1000</f>
        <v>18.6675</v>
      </c>
      <c r="H28" s="31">
        <f t="shared" si="2"/>
        <v>44.956499999999998</v>
      </c>
      <c r="I28" s="31">
        <f t="shared" si="2"/>
        <v>52.351999999999997</v>
      </c>
      <c r="J28" s="31">
        <f t="shared" si="2"/>
        <v>32.9375</v>
      </c>
      <c r="K28" s="142">
        <f t="shared" si="2"/>
        <v>14.637</v>
      </c>
      <c r="L28" s="30">
        <f t="shared" si="2"/>
        <v>34.036000000000001</v>
      </c>
      <c r="M28" s="31">
        <f t="shared" si="2"/>
        <v>28.374500000000001</v>
      </c>
      <c r="N28" s="31">
        <f t="shared" si="2"/>
        <v>28.314</v>
      </c>
      <c r="O28" s="32">
        <f t="shared" si="2"/>
        <v>22.54</v>
      </c>
      <c r="P28" s="65">
        <f t="shared" si="2"/>
        <v>23.79</v>
      </c>
      <c r="Q28" s="31">
        <f t="shared" si="2"/>
        <v>39.692999999999998</v>
      </c>
      <c r="R28" s="31">
        <f t="shared" si="2"/>
        <v>41.683999999999997</v>
      </c>
      <c r="S28" s="31">
        <f t="shared" si="2"/>
        <v>36.432000000000002</v>
      </c>
      <c r="T28" s="31">
        <f t="shared" si="2"/>
        <v>27.248000000000001</v>
      </c>
      <c r="U28" s="31">
        <f t="shared" si="2"/>
        <v>52.064999999999998</v>
      </c>
      <c r="V28" s="31">
        <f t="shared" si="2"/>
        <v>59.920499999999997</v>
      </c>
      <c r="W28" s="32">
        <f t="shared" si="2"/>
        <v>32.426000000000002</v>
      </c>
      <c r="X28" s="322"/>
      <c r="Y28" s="33">
        <f>((Y25*1000)/7)/Y27</f>
        <v>64.104851934021411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3">((D27*D26)*7)/1000</f>
        <v>340.43099999999998</v>
      </c>
      <c r="E29" s="282">
        <f t="shared" si="3"/>
        <v>254.4675</v>
      </c>
      <c r="F29" s="282">
        <f t="shared" si="3"/>
        <v>184.77549999999999</v>
      </c>
      <c r="G29" s="282">
        <f t="shared" si="3"/>
        <v>130.67250000000001</v>
      </c>
      <c r="H29" s="282">
        <f t="shared" si="3"/>
        <v>314.69549999999998</v>
      </c>
      <c r="I29" s="282">
        <f t="shared" si="3"/>
        <v>366.464</v>
      </c>
      <c r="J29" s="282">
        <f t="shared" si="3"/>
        <v>230.5625</v>
      </c>
      <c r="K29" s="282">
        <f t="shared" si="3"/>
        <v>102.459</v>
      </c>
      <c r="L29" s="282">
        <f t="shared" si="3"/>
        <v>238.25200000000001</v>
      </c>
      <c r="M29" s="282">
        <f t="shared" si="3"/>
        <v>198.6215</v>
      </c>
      <c r="N29" s="282">
        <f t="shared" si="3"/>
        <v>198.19800000000001</v>
      </c>
      <c r="O29" s="282">
        <f t="shared" si="3"/>
        <v>157.78</v>
      </c>
      <c r="P29" s="282">
        <f t="shared" si="3"/>
        <v>166.53</v>
      </c>
      <c r="Q29" s="282">
        <f t="shared" si="3"/>
        <v>277.851</v>
      </c>
      <c r="R29" s="282">
        <f t="shared" si="3"/>
        <v>291.78800000000001</v>
      </c>
      <c r="S29" s="282">
        <f t="shared" si="3"/>
        <v>255.024</v>
      </c>
      <c r="T29" s="282">
        <f t="shared" si="3"/>
        <v>190.73599999999999</v>
      </c>
      <c r="U29" s="282">
        <f t="shared" si="3"/>
        <v>364.45499999999998</v>
      </c>
      <c r="V29" s="282">
        <f t="shared" si="3"/>
        <v>419.44349999999997</v>
      </c>
      <c r="W29" s="282">
        <f t="shared" si="3"/>
        <v>226.982</v>
      </c>
      <c r="X29" s="323"/>
      <c r="Y29" s="36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4">+(C25/C27)/7*1000</f>
        <v>63.492063492063487</v>
      </c>
      <c r="D30" s="38">
        <f t="shared" si="4"/>
        <v>64.494126563092067</v>
      </c>
      <c r="E30" s="38">
        <f t="shared" si="4"/>
        <v>65.5083655083655</v>
      </c>
      <c r="F30" s="38">
        <f t="shared" si="4"/>
        <v>65.508684863523584</v>
      </c>
      <c r="G30" s="38">
        <f t="shared" si="4"/>
        <v>65.513784461152866</v>
      </c>
      <c r="H30" s="38">
        <f t="shared" si="4"/>
        <v>64.500922320147566</v>
      </c>
      <c r="I30" s="38">
        <f t="shared" si="4"/>
        <v>64.006287111421585</v>
      </c>
      <c r="J30" s="38">
        <f t="shared" si="4"/>
        <v>62.510165356465158</v>
      </c>
      <c r="K30" s="158">
        <f t="shared" si="4"/>
        <v>61.524609843937561</v>
      </c>
      <c r="L30" s="37">
        <f t="shared" si="4"/>
        <v>63.512793176972281</v>
      </c>
      <c r="M30" s="38">
        <f t="shared" si="4"/>
        <v>60.493451111788005</v>
      </c>
      <c r="N30" s="38">
        <f t="shared" si="4"/>
        <v>60.500610500610499</v>
      </c>
      <c r="O30" s="39">
        <f t="shared" si="4"/>
        <v>57.507288629737623</v>
      </c>
      <c r="P30" s="67">
        <f t="shared" si="4"/>
        <v>64.988290398126466</v>
      </c>
      <c r="Q30" s="38">
        <f t="shared" si="4"/>
        <v>65.511551155115498</v>
      </c>
      <c r="R30" s="38">
        <f t="shared" si="4"/>
        <v>68.002796550920536</v>
      </c>
      <c r="S30" s="38">
        <f t="shared" si="4"/>
        <v>68.993506493506501</v>
      </c>
      <c r="T30" s="38">
        <f t="shared" si="4"/>
        <v>65.487637362637372</v>
      </c>
      <c r="U30" s="38">
        <f t="shared" si="4"/>
        <v>65.008025682182989</v>
      </c>
      <c r="V30" s="38">
        <f t="shared" si="4"/>
        <v>64.493310779640169</v>
      </c>
      <c r="W30" s="39">
        <f t="shared" si="4"/>
        <v>62.004916689429109</v>
      </c>
      <c r="X30" s="324"/>
      <c r="Y30" s="40"/>
      <c r="AA30" s="42"/>
    </row>
    <row r="31" spans="1:36" ht="33.75" customHeight="1" x14ac:dyDescent="0.25">
      <c r="A31" s="41"/>
      <c r="B31" s="42">
        <f>B29-B25</f>
        <v>-9.5000000000027285E-3</v>
      </c>
      <c r="C31" s="42">
        <f t="shared" ref="C31:W31" si="5">C29-C25</f>
        <v>3.3500000000003638E-2</v>
      </c>
      <c r="D31" s="42">
        <f t="shared" si="5"/>
        <v>3.1000000000005912E-2</v>
      </c>
      <c r="E31" s="42">
        <f t="shared" si="5"/>
        <v>-3.2499999999998863E-2</v>
      </c>
      <c r="F31" s="42">
        <f t="shared" si="5"/>
        <v>-2.4500000000017508E-2</v>
      </c>
      <c r="G31" s="42">
        <f t="shared" si="5"/>
        <v>-2.7499999999974989E-2</v>
      </c>
      <c r="H31" s="42">
        <f t="shared" si="5"/>
        <v>-4.500000000007276E-3</v>
      </c>
      <c r="I31" s="42">
        <f t="shared" si="5"/>
        <v>-3.6000000000001364E-2</v>
      </c>
      <c r="J31" s="42">
        <f t="shared" si="5"/>
        <v>-3.7499999999965894E-2</v>
      </c>
      <c r="K31" s="42">
        <f t="shared" si="5"/>
        <v>-4.0999999999982606E-2</v>
      </c>
      <c r="L31" s="42">
        <f t="shared" si="5"/>
        <v>-4.8000000000001819E-2</v>
      </c>
      <c r="M31" s="42">
        <f t="shared" si="5"/>
        <v>2.1499999999974762E-2</v>
      </c>
      <c r="N31" s="42">
        <f t="shared" si="5"/>
        <v>-1.999999999981128E-3</v>
      </c>
      <c r="O31" s="42">
        <f t="shared" si="5"/>
        <v>-2.0000000000010232E-2</v>
      </c>
      <c r="P31" s="42">
        <f t="shared" si="5"/>
        <v>3.0000000000001137E-2</v>
      </c>
      <c r="Q31" s="42">
        <f t="shared" si="5"/>
        <v>-4.8999999999978172E-2</v>
      </c>
      <c r="R31" s="42">
        <f t="shared" si="5"/>
        <v>-1.2000000000000455E-2</v>
      </c>
      <c r="S31" s="42">
        <f t="shared" si="5"/>
        <v>2.4000000000000909E-2</v>
      </c>
      <c r="T31" s="42">
        <f t="shared" si="5"/>
        <v>3.6000000000001364E-2</v>
      </c>
      <c r="U31" s="42">
        <f t="shared" si="5"/>
        <v>-4.5000000000015916E-2</v>
      </c>
      <c r="V31" s="42">
        <f t="shared" si="5"/>
        <v>4.34999999999377E-2</v>
      </c>
      <c r="W31" s="42">
        <f t="shared" si="5"/>
        <v>-1.8000000000000682E-2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4.2278593680435961E-3</v>
      </c>
      <c r="C32" s="42">
        <f t="shared" ref="C32:W32" si="6">C30-C26</f>
        <v>-7.9365079365132374E-3</v>
      </c>
      <c r="D32" s="42">
        <f t="shared" si="6"/>
        <v>-5.8734369079331827E-3</v>
      </c>
      <c r="E32" s="42">
        <f t="shared" si="6"/>
        <v>8.3655083655003182E-3</v>
      </c>
      <c r="F32" s="42">
        <f t="shared" si="6"/>
        <v>8.6848635235838856E-3</v>
      </c>
      <c r="G32" s="42">
        <f t="shared" si="6"/>
        <v>1.3784461152866356E-2</v>
      </c>
      <c r="H32" s="42">
        <f t="shared" si="6"/>
        <v>9.2232014756632452E-4</v>
      </c>
      <c r="I32" s="42">
        <f t="shared" si="6"/>
        <v>6.2871114215852231E-3</v>
      </c>
      <c r="J32" s="42">
        <f t="shared" si="6"/>
        <v>1.0165356465158482E-2</v>
      </c>
      <c r="K32" s="42">
        <f t="shared" si="6"/>
        <v>2.4609843937561493E-2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 t="shared" si="6"/>
        <v>-1.170960187353387E-2</v>
      </c>
      <c r="Q32" s="42">
        <f t="shared" si="6"/>
        <v>1.1551155115498091E-2</v>
      </c>
      <c r="R32" s="42">
        <f t="shared" si="6"/>
        <v>2.7965509205358785E-3</v>
      </c>
      <c r="S32" s="42">
        <f t="shared" si="6"/>
        <v>-6.4935064934985576E-3</v>
      </c>
      <c r="T32" s="42">
        <f t="shared" si="6"/>
        <v>-1.2362637362627993E-2</v>
      </c>
      <c r="U32" s="42">
        <f t="shared" si="6"/>
        <v>8.0256821829891578E-3</v>
      </c>
      <c r="V32" s="42">
        <f t="shared" si="6"/>
        <v>-6.6892203598314381E-3</v>
      </c>
      <c r="W32" s="42">
        <f t="shared" si="6"/>
        <v>4.9166894291090557E-3</v>
      </c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35" t="s">
        <v>8</v>
      </c>
      <c r="C36" s="1036"/>
      <c r="D36" s="1036"/>
      <c r="E36" s="1036"/>
      <c r="F36" s="1036"/>
      <c r="G36" s="1036"/>
      <c r="H36" s="1036"/>
      <c r="I36" s="1036"/>
      <c r="J36" s="1037"/>
      <c r="K36" s="244"/>
      <c r="L36" s="42"/>
      <c r="M36" s="42"/>
      <c r="N36" s="42"/>
      <c r="O36" s="44"/>
      <c r="P36" s="88" t="s">
        <v>18</v>
      </c>
      <c r="Q36" s="1031" t="s">
        <v>8</v>
      </c>
      <c r="R36" s="1032"/>
      <c r="S36" s="1032"/>
      <c r="T36" s="1032"/>
      <c r="U36" s="103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7"/>
      <c r="T37" s="305"/>
      <c r="U37" s="261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62">
        <v>3</v>
      </c>
      <c r="T38" s="171" t="s">
        <v>70</v>
      </c>
      <c r="U38" s="30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288"/>
      <c r="C39" s="289"/>
      <c r="D39" s="289"/>
      <c r="E39" s="289"/>
      <c r="F39" s="289"/>
      <c r="G39" s="289"/>
      <c r="H39" s="289"/>
      <c r="I39" s="290"/>
      <c r="J39" s="299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306"/>
      <c r="R39" s="307"/>
      <c r="S39" s="307"/>
      <c r="T39" s="303"/>
      <c r="U39" s="312">
        <f>SUM(Q39:T39)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281">
        <v>34.700000000000003</v>
      </c>
      <c r="C40" s="282">
        <v>48.3</v>
      </c>
      <c r="D40" s="282">
        <v>36.799999999999997</v>
      </c>
      <c r="E40" s="282">
        <v>25.7</v>
      </c>
      <c r="F40" s="282">
        <v>21.5</v>
      </c>
      <c r="G40" s="282">
        <v>34.6</v>
      </c>
      <c r="H40" s="282">
        <v>68.8</v>
      </c>
      <c r="I40" s="284">
        <v>42.5</v>
      </c>
      <c r="J40" s="98">
        <f t="shared" si="7"/>
        <v>312.89999999999998</v>
      </c>
      <c r="K40" s="309"/>
      <c r="L40" s="42"/>
      <c r="M40" s="42"/>
      <c r="N40" s="42"/>
      <c r="O40" s="2"/>
      <c r="P40" s="146" t="s">
        <v>24</v>
      </c>
      <c r="Q40" s="18">
        <v>12.8</v>
      </c>
      <c r="R40" s="19">
        <v>18.899999999999999</v>
      </c>
      <c r="S40" s="19">
        <v>13.1</v>
      </c>
      <c r="T40" s="233">
        <v>3.6</v>
      </c>
      <c r="U40" s="264">
        <f t="shared" ref="U40:U45" si="8">SUM(Q40:T40)</f>
        <v>48.4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38.5</v>
      </c>
      <c r="C41" s="19">
        <v>54.5</v>
      </c>
      <c r="D41" s="19">
        <v>42.7</v>
      </c>
      <c r="E41" s="19">
        <v>30.8</v>
      </c>
      <c r="F41" s="19">
        <v>25.2</v>
      </c>
      <c r="G41" s="19">
        <v>39.4</v>
      </c>
      <c r="H41" s="19">
        <v>75.7</v>
      </c>
      <c r="I41" s="20">
        <v>45</v>
      </c>
      <c r="J41" s="98">
        <f t="shared" si="7"/>
        <v>351.8</v>
      </c>
      <c r="K41" s="49"/>
      <c r="L41" s="196"/>
      <c r="M41" s="196"/>
      <c r="N41" s="196"/>
      <c r="O41" s="2"/>
      <c r="P41" s="146" t="s">
        <v>20</v>
      </c>
      <c r="Q41" s="18">
        <v>14.2</v>
      </c>
      <c r="R41" s="19">
        <v>20.6</v>
      </c>
      <c r="S41" s="19">
        <v>14.4</v>
      </c>
      <c r="T41" s="233">
        <v>4</v>
      </c>
      <c r="U41" s="264">
        <f t="shared" si="8"/>
        <v>53.199999999999996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38.5</v>
      </c>
      <c r="C42" s="19">
        <v>54.5</v>
      </c>
      <c r="D42" s="19">
        <v>42.7</v>
      </c>
      <c r="E42" s="19">
        <v>30.9</v>
      </c>
      <c r="F42" s="19">
        <v>25.2</v>
      </c>
      <c r="G42" s="19">
        <v>39.4</v>
      </c>
      <c r="H42" s="19">
        <v>75.8</v>
      </c>
      <c r="I42" s="20">
        <v>45.1</v>
      </c>
      <c r="J42" s="98">
        <f t="shared" si="7"/>
        <v>352.1</v>
      </c>
      <c r="K42" s="49"/>
      <c r="L42" s="2"/>
      <c r="M42" s="2"/>
      <c r="N42" s="2"/>
      <c r="O42" s="2"/>
      <c r="P42" s="146" t="s">
        <v>28</v>
      </c>
      <c r="Q42" s="18">
        <v>14.2</v>
      </c>
      <c r="R42" s="19">
        <v>20.7</v>
      </c>
      <c r="S42" s="19">
        <v>14.4</v>
      </c>
      <c r="T42" s="233">
        <v>4</v>
      </c>
      <c r="U42" s="264">
        <f t="shared" si="8"/>
        <v>53.3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291"/>
      <c r="C43" s="292"/>
      <c r="D43" s="292"/>
      <c r="E43" s="292"/>
      <c r="F43" s="292"/>
      <c r="G43" s="292"/>
      <c r="H43" s="292"/>
      <c r="I43" s="293"/>
      <c r="J43" s="299">
        <f t="shared" si="7"/>
        <v>0</v>
      </c>
      <c r="K43" s="49"/>
      <c r="L43" s="222"/>
      <c r="M43" s="222"/>
      <c r="N43" s="222"/>
      <c r="O43" s="2"/>
      <c r="P43" s="146" t="s">
        <v>21</v>
      </c>
      <c r="Q43" s="291"/>
      <c r="R43" s="292"/>
      <c r="S43" s="292"/>
      <c r="T43" s="310"/>
      <c r="U43" s="312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38.5</v>
      </c>
      <c r="C44" s="19">
        <v>54.6</v>
      </c>
      <c r="D44" s="19">
        <v>42.7</v>
      </c>
      <c r="E44" s="19">
        <v>30.9</v>
      </c>
      <c r="F44" s="19">
        <v>25.2</v>
      </c>
      <c r="G44" s="19">
        <v>39.4</v>
      </c>
      <c r="H44" s="19">
        <v>75.8</v>
      </c>
      <c r="I44" s="20">
        <v>45.1</v>
      </c>
      <c r="J44" s="98">
        <f t="shared" si="7"/>
        <v>352.20000000000005</v>
      </c>
      <c r="K44" s="49"/>
      <c r="L44" s="43"/>
      <c r="M44" s="43"/>
      <c r="N44" s="43"/>
      <c r="O44" s="2"/>
      <c r="P44" s="146" t="s">
        <v>22</v>
      </c>
      <c r="Q44" s="18">
        <v>14.2</v>
      </c>
      <c r="R44" s="19">
        <v>20.7</v>
      </c>
      <c r="S44" s="19">
        <v>14.4</v>
      </c>
      <c r="T44" s="233">
        <v>4</v>
      </c>
      <c r="U44" s="264">
        <f t="shared" si="8"/>
        <v>53.3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v>38.6</v>
      </c>
      <c r="C45" s="227">
        <v>54.6</v>
      </c>
      <c r="D45" s="227">
        <v>42.7</v>
      </c>
      <c r="E45" s="227">
        <v>30.9</v>
      </c>
      <c r="F45" s="227">
        <v>25.2</v>
      </c>
      <c r="G45" s="227">
        <v>39.5</v>
      </c>
      <c r="H45" s="227">
        <v>75.8</v>
      </c>
      <c r="I45" s="228">
        <v>45.1</v>
      </c>
      <c r="J45" s="272">
        <f t="shared" si="7"/>
        <v>352.40000000000003</v>
      </c>
      <c r="K45" s="49"/>
      <c r="L45" s="41"/>
      <c r="M45" s="41"/>
      <c r="N45" s="41"/>
      <c r="O45" s="2"/>
      <c r="P45" s="146" t="s">
        <v>23</v>
      </c>
      <c r="Q45" s="226">
        <v>14.2</v>
      </c>
      <c r="R45" s="227">
        <v>20.7</v>
      </c>
      <c r="S45" s="227">
        <v>14.5</v>
      </c>
      <c r="T45" s="311">
        <v>4.0999999999999996</v>
      </c>
      <c r="U45" s="265">
        <f t="shared" si="8"/>
        <v>53.5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188.79999999999998</v>
      </c>
      <c r="C46" s="201">
        <f t="shared" si="9"/>
        <v>266.5</v>
      </c>
      <c r="D46" s="201">
        <f t="shared" si="9"/>
        <v>207.60000000000002</v>
      </c>
      <c r="E46" s="201">
        <f t="shared" si="9"/>
        <v>149.20000000000002</v>
      </c>
      <c r="F46" s="201">
        <f t="shared" si="9"/>
        <v>122.30000000000001</v>
      </c>
      <c r="G46" s="201">
        <f t="shared" si="9"/>
        <v>192.3</v>
      </c>
      <c r="H46" s="201">
        <f t="shared" si="9"/>
        <v>371.90000000000003</v>
      </c>
      <c r="I46" s="273">
        <f t="shared" si="9"/>
        <v>222.79999999999998</v>
      </c>
      <c r="J46" s="252">
        <f t="shared" si="7"/>
        <v>1721.4</v>
      </c>
      <c r="K46" s="49"/>
      <c r="L46" s="42"/>
      <c r="M46" s="42"/>
      <c r="N46" s="42"/>
      <c r="P46" s="80" t="s">
        <v>9</v>
      </c>
      <c r="Q46" s="200">
        <f>SUM(Q39:Q45)</f>
        <v>69.600000000000009</v>
      </c>
      <c r="R46" s="201">
        <f>SUM(R39:R45)</f>
        <v>101.60000000000001</v>
      </c>
      <c r="S46" s="201">
        <f>SUM(S39:S45)</f>
        <v>70.8</v>
      </c>
      <c r="T46" s="201">
        <f>SUM(T39:T45)</f>
        <v>19.7</v>
      </c>
      <c r="U46" s="313">
        <f>SUM(Q46:T46)</f>
        <v>261.7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69.5</v>
      </c>
      <c r="C47" s="24">
        <v>70.5</v>
      </c>
      <c r="D47" s="24">
        <v>72</v>
      </c>
      <c r="E47" s="24">
        <v>74</v>
      </c>
      <c r="F47" s="24">
        <v>72.5</v>
      </c>
      <c r="G47" s="24">
        <v>71</v>
      </c>
      <c r="H47" s="24">
        <v>69</v>
      </c>
      <c r="I47" s="25">
        <v>67</v>
      </c>
      <c r="J47" s="234">
        <f>+((J46/J48)/7)*1000</f>
        <v>70.241155588199291</v>
      </c>
      <c r="K47" s="50"/>
      <c r="L47" s="49"/>
      <c r="M47" s="49"/>
      <c r="N47" s="49"/>
      <c r="P47" s="93" t="s">
        <v>11</v>
      </c>
      <c r="Q47" s="63">
        <v>76.5</v>
      </c>
      <c r="R47" s="24">
        <v>76</v>
      </c>
      <c r="S47" s="24">
        <v>76</v>
      </c>
      <c r="T47" s="24">
        <v>76</v>
      </c>
      <c r="U47" s="234">
        <f>+((U46/U48)/7)*1000</f>
        <v>76.141984288623803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388</v>
      </c>
      <c r="C48" s="27">
        <v>540</v>
      </c>
      <c r="D48" s="27">
        <v>412</v>
      </c>
      <c r="E48" s="27">
        <v>288</v>
      </c>
      <c r="F48" s="27">
        <v>241</v>
      </c>
      <c r="G48" s="27">
        <v>387</v>
      </c>
      <c r="H48" s="27">
        <v>770</v>
      </c>
      <c r="I48" s="28">
        <v>475</v>
      </c>
      <c r="J48" s="256">
        <f>SUM(B48:I48)</f>
        <v>3501</v>
      </c>
      <c r="K48" s="191"/>
      <c r="L48" s="49"/>
      <c r="M48" s="49"/>
      <c r="N48" s="49"/>
      <c r="O48" s="51"/>
      <c r="P48" s="71" t="s">
        <v>12</v>
      </c>
      <c r="Q48" s="79">
        <v>130</v>
      </c>
      <c r="R48" s="79">
        <v>191</v>
      </c>
      <c r="S48" s="79">
        <v>133</v>
      </c>
      <c r="T48" s="79">
        <v>37</v>
      </c>
      <c r="U48" s="235">
        <f>SUM(Q48:T48)</f>
        <v>491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>((((B47*7)*B48)/1000)-B40)/4</f>
        <v>38.515500000000003</v>
      </c>
      <c r="C49" s="30">
        <f t="shared" ref="C49:I49" si="10">((((C47*7)*C48)/1000)-C40)/4</f>
        <v>54.547499999999999</v>
      </c>
      <c r="D49" s="30">
        <f t="shared" si="10"/>
        <v>42.712000000000003</v>
      </c>
      <c r="E49" s="30">
        <f t="shared" si="10"/>
        <v>30.870999999999999</v>
      </c>
      <c r="F49" s="30">
        <f t="shared" si="10"/>
        <v>25.201875000000001</v>
      </c>
      <c r="G49" s="30">
        <f t="shared" si="10"/>
        <v>39.434750000000001</v>
      </c>
      <c r="H49" s="30">
        <f t="shared" si="10"/>
        <v>75.777500000000003</v>
      </c>
      <c r="I49" s="30">
        <f t="shared" si="10"/>
        <v>45.068750000000001</v>
      </c>
      <c r="J49" s="257">
        <f>((J46*1000)/J48)/7</f>
        <v>70.241155588199291</v>
      </c>
      <c r="K49" s="192"/>
      <c r="L49" s="49"/>
      <c r="M49" s="49"/>
      <c r="N49" s="49"/>
      <c r="P49" s="72" t="s">
        <v>13</v>
      </c>
      <c r="Q49" s="65">
        <f>((((Q47*7)*Q48)/1000)-Q40)/4</f>
        <v>14.203749999999999</v>
      </c>
      <c r="R49" s="65">
        <f>((((R47*7)*R48)/1000)-R40)/4</f>
        <v>20.677999999999997</v>
      </c>
      <c r="S49" s="65">
        <f>((((S47*7)*S48)/1000)-S40)/4</f>
        <v>14.414</v>
      </c>
      <c r="T49" s="65">
        <f>((((T47*7)*T48)/1000)-T40)/4</f>
        <v>4.0209999999999999</v>
      </c>
      <c r="U49" s="253">
        <f>((U46*1000)/U48)/7</f>
        <v>76.141984288623803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1">((B48*B47)*7)/1000</f>
        <v>188.762</v>
      </c>
      <c r="C50" s="282">
        <f t="shared" si="11"/>
        <v>266.49</v>
      </c>
      <c r="D50" s="282">
        <f t="shared" si="11"/>
        <v>207.648</v>
      </c>
      <c r="E50" s="282">
        <f t="shared" si="11"/>
        <v>149.184</v>
      </c>
      <c r="F50" s="282">
        <f t="shared" si="11"/>
        <v>122.3075</v>
      </c>
      <c r="G50" s="282">
        <f t="shared" si="11"/>
        <v>192.339</v>
      </c>
      <c r="H50" s="282">
        <f t="shared" si="11"/>
        <v>371.91</v>
      </c>
      <c r="I50" s="284">
        <f t="shared" si="11"/>
        <v>222.77500000000001</v>
      </c>
      <c r="J50" s="73"/>
      <c r="K50" s="41"/>
      <c r="L50" s="49"/>
      <c r="M50" s="49"/>
      <c r="N50" s="49"/>
      <c r="P50" s="73" t="s">
        <v>14</v>
      </c>
      <c r="Q50" s="285">
        <f>((Q48*Q47)*7)/1000</f>
        <v>69.614999999999995</v>
      </c>
      <c r="R50" s="282">
        <f>((R48*R47)*7)/1000</f>
        <v>101.61199999999999</v>
      </c>
      <c r="S50" s="282">
        <f>((S48*S47)*7)/1000</f>
        <v>70.756</v>
      </c>
      <c r="T50" s="282">
        <f>((T48*T47)*7)/1000</f>
        <v>19.684000000000001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69.513991163475694</v>
      </c>
      <c r="C51" s="38">
        <f t="shared" si="12"/>
        <v>70.502645502645493</v>
      </c>
      <c r="D51" s="38">
        <f t="shared" si="12"/>
        <v>71.983356449375876</v>
      </c>
      <c r="E51" s="38">
        <f t="shared" si="12"/>
        <v>74.007936507936506</v>
      </c>
      <c r="F51" s="38">
        <f t="shared" si="12"/>
        <v>72.49555423829284</v>
      </c>
      <c r="G51" s="38">
        <f t="shared" si="12"/>
        <v>70.985603543743082</v>
      </c>
      <c r="H51" s="38">
        <f t="shared" si="12"/>
        <v>68.998144712430431</v>
      </c>
      <c r="I51" s="39">
        <f t="shared" si="12"/>
        <v>67.007518796992471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76.483516483516496</v>
      </c>
      <c r="R51" s="38">
        <f>+(R46/R48)/7*1000</f>
        <v>75.991024682124163</v>
      </c>
      <c r="S51" s="38">
        <f>+(S46/S48)/7*1000</f>
        <v>76.047261009667011</v>
      </c>
      <c r="T51" s="38">
        <f>+(T46/T48)/7*1000</f>
        <v>76.061776061776072</v>
      </c>
      <c r="U51" s="255"/>
      <c r="V51" s="42"/>
      <c r="W51" s="42"/>
      <c r="X51" s="42"/>
    </row>
    <row r="52" spans="1:35" ht="33.75" customHeight="1" x14ac:dyDescent="0.25">
      <c r="A52" s="41"/>
      <c r="B52" s="42">
        <f>B50-B46</f>
        <v>-3.7999999999982492E-2</v>
      </c>
      <c r="C52" s="42">
        <f t="shared" ref="C52:I52" si="13">C50-C46</f>
        <v>-9.9999999999909051E-3</v>
      </c>
      <c r="D52" s="42">
        <f t="shared" si="13"/>
        <v>4.7999999999973397E-2</v>
      </c>
      <c r="E52" s="42">
        <f t="shared" si="13"/>
        <v>-1.6000000000019554E-2</v>
      </c>
      <c r="F52" s="42">
        <f t="shared" si="13"/>
        <v>7.4999999999931788E-3</v>
      </c>
      <c r="G52" s="42">
        <f t="shared" si="13"/>
        <v>3.8999999999987267E-2</v>
      </c>
      <c r="H52" s="42">
        <f t="shared" si="13"/>
        <v>9.9999999999909051E-3</v>
      </c>
      <c r="I52" s="42">
        <f t="shared" si="13"/>
        <v>-2.4999999999977263E-2</v>
      </c>
      <c r="J52" s="41"/>
      <c r="K52" s="41"/>
      <c r="L52" s="41"/>
      <c r="M52" s="41"/>
      <c r="N52" s="41"/>
      <c r="O52" s="41"/>
      <c r="P52" s="42"/>
      <c r="Q52" s="42">
        <f t="shared" ref="Q52:T53" si="14">Q50-Q46</f>
        <v>1.4999999999986358E-2</v>
      </c>
      <c r="R52" s="42">
        <f t="shared" si="14"/>
        <v>1.1999999999986244E-2</v>
      </c>
      <c r="S52" s="42">
        <f t="shared" si="14"/>
        <v>-4.399999999999693E-2</v>
      </c>
      <c r="T52" s="42">
        <f t="shared" si="14"/>
        <v>-1.5999999999998238E-2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>
        <f>B51-B47</f>
        <v>1.3991163475694179E-2</v>
      </c>
      <c r="C53" s="42">
        <f t="shared" ref="C53:I53" si="15">C51-C47</f>
        <v>2.6455026454925701E-3</v>
      </c>
      <c r="D53" s="42">
        <f t="shared" si="15"/>
        <v>-1.6643550624124259E-2</v>
      </c>
      <c r="E53" s="42">
        <f t="shared" si="15"/>
        <v>7.936507936506132E-3</v>
      </c>
      <c r="F53" s="42">
        <f t="shared" si="15"/>
        <v>-4.4457617071600453E-3</v>
      </c>
      <c r="G53" s="42">
        <f t="shared" si="15"/>
        <v>-1.43964562569181E-2</v>
      </c>
      <c r="H53" s="42">
        <f t="shared" si="15"/>
        <v>-1.8552875695689863E-3</v>
      </c>
      <c r="I53" s="42">
        <f t="shared" si="15"/>
        <v>7.5187969924712661E-3</v>
      </c>
      <c r="K53" s="41"/>
      <c r="L53" s="41"/>
      <c r="M53" s="41"/>
      <c r="N53" s="41"/>
      <c r="O53" s="42"/>
      <c r="P53" s="42"/>
      <c r="Q53" s="42">
        <f t="shared" si="14"/>
        <v>-1.648351648350399E-2</v>
      </c>
      <c r="R53" s="42">
        <f t="shared" si="14"/>
        <v>-8.9753178758371632E-3</v>
      </c>
      <c r="S53" s="42">
        <f t="shared" si="14"/>
        <v>4.7261009667010967E-2</v>
      </c>
      <c r="T53" s="42">
        <f t="shared" si="14"/>
        <v>6.1776061776072311E-2</v>
      </c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41"/>
      <c r="L55" s="41"/>
      <c r="M55" s="41"/>
      <c r="N55" s="41"/>
      <c r="O55" s="42"/>
      <c r="P55" s="42"/>
      <c r="Q55" s="42"/>
      <c r="R55" s="42"/>
      <c r="S55" s="42"/>
      <c r="T55" s="42"/>
      <c r="U55" s="42"/>
      <c r="V55" s="42"/>
      <c r="W55" s="43"/>
      <c r="X55" s="43"/>
      <c r="Y55" s="43"/>
      <c r="Z55" s="2"/>
      <c r="AA55" s="2"/>
      <c r="AB55" s="2"/>
      <c r="AC55" s="2"/>
      <c r="AG55" s="3"/>
    </row>
    <row r="56" spans="1:35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54"/>
      <c r="L56" s="54"/>
      <c r="M56" s="54"/>
      <c r="N56" s="54"/>
      <c r="O56" s="1018"/>
      <c r="P56" s="1018"/>
      <c r="Q56" s="100"/>
      <c r="R56" s="100"/>
      <c r="S56" s="100"/>
      <c r="T56" s="100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8" t="s">
        <v>19</v>
      </c>
      <c r="B57" s="1035" t="s">
        <v>63</v>
      </c>
      <c r="C57" s="1036"/>
      <c r="D57" s="1036"/>
      <c r="E57" s="1036"/>
      <c r="F57" s="1036"/>
      <c r="G57" s="1037"/>
      <c r="H57" s="56"/>
      <c r="J57" s="56"/>
      <c r="K57" s="56"/>
      <c r="L57" s="56"/>
      <c r="M57" s="56"/>
      <c r="X57" s="43"/>
      <c r="Y57" s="43"/>
      <c r="Z57" s="43"/>
      <c r="AA57" s="2"/>
      <c r="AB57" s="2"/>
      <c r="AC57" s="2"/>
      <c r="AD57" s="2"/>
      <c r="AF57" s="2"/>
      <c r="AG57" s="2"/>
      <c r="AH57" s="2"/>
    </row>
    <row r="58" spans="1:35" ht="33.75" customHeight="1" thickBot="1" x14ac:dyDescent="0.3">
      <c r="A58" s="80" t="s">
        <v>34</v>
      </c>
      <c r="B58" s="169"/>
      <c r="C58" s="161"/>
      <c r="D58" s="161"/>
      <c r="E58" s="161"/>
      <c r="F58" s="163"/>
      <c r="G58" s="261" t="s">
        <v>9</v>
      </c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D58" s="2"/>
      <c r="AE58" s="2"/>
      <c r="AF58" s="2"/>
    </row>
    <row r="59" spans="1:35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18"/>
      <c r="H59" s="45"/>
      <c r="J59" s="45"/>
      <c r="K59" s="45"/>
      <c r="L59" s="45"/>
      <c r="M59" s="45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51</v>
      </c>
      <c r="B60" s="302"/>
      <c r="C60" s="302"/>
      <c r="D60" s="302"/>
      <c r="E60" s="302"/>
      <c r="F60" s="302"/>
      <c r="G60" s="312">
        <f t="shared" ref="G60:G66" si="16">SUM(B60:F60)</f>
        <v>0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24</v>
      </c>
      <c r="B61" s="61">
        <v>24.9</v>
      </c>
      <c r="C61" s="61">
        <v>42.9</v>
      </c>
      <c r="D61" s="61">
        <v>39.5</v>
      </c>
      <c r="E61" s="61">
        <v>34.299999999999997</v>
      </c>
      <c r="F61" s="61">
        <v>37.700000000000003</v>
      </c>
      <c r="G61" s="264">
        <f t="shared" si="16"/>
        <v>179.3</v>
      </c>
      <c r="H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20</v>
      </c>
      <c r="B62" s="61">
        <v>27.1</v>
      </c>
      <c r="C62" s="61">
        <v>46.8</v>
      </c>
      <c r="D62" s="61">
        <v>43.3</v>
      </c>
      <c r="E62" s="61">
        <v>37.4</v>
      </c>
      <c r="F62" s="61">
        <v>40.9</v>
      </c>
      <c r="G62" s="264">
        <f t="shared" si="16"/>
        <v>195.5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2"/>
      <c r="Z62" s="2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28</v>
      </c>
      <c r="B63" s="61">
        <v>27.2</v>
      </c>
      <c r="C63" s="61">
        <v>46.8</v>
      </c>
      <c r="D63" s="61">
        <v>43.3</v>
      </c>
      <c r="E63" s="61">
        <v>37.5</v>
      </c>
      <c r="F63" s="61">
        <v>41</v>
      </c>
      <c r="G63" s="264">
        <f t="shared" si="16"/>
        <v>195.8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21</v>
      </c>
      <c r="B64" s="301"/>
      <c r="C64" s="301"/>
      <c r="D64" s="301"/>
      <c r="E64" s="301"/>
      <c r="F64" s="301"/>
      <c r="G64" s="312">
        <f t="shared" si="16"/>
        <v>0</v>
      </c>
      <c r="H64" s="42"/>
      <c r="I64" s="42"/>
      <c r="J64" s="42"/>
      <c r="K64" s="2"/>
      <c r="L64" s="2"/>
      <c r="M64" s="2"/>
      <c r="N64" s="45"/>
      <c r="O64" s="45"/>
      <c r="P64" s="45"/>
      <c r="Q64" s="57"/>
      <c r="R64" s="57"/>
      <c r="S64" s="57"/>
      <c r="T64" s="45"/>
      <c r="U64" s="45"/>
      <c r="V64" s="58"/>
      <c r="W64" s="58"/>
      <c r="X64" s="58"/>
      <c r="Y64" s="3"/>
      <c r="Z64" s="3"/>
      <c r="AA64" s="2"/>
      <c r="AB64" s="2"/>
      <c r="AC64" s="2"/>
      <c r="AD64" s="2"/>
      <c r="AE64" s="2"/>
      <c r="AF64" s="2"/>
    </row>
    <row r="65" spans="1:32" ht="33.75" customHeight="1" x14ac:dyDescent="0.25">
      <c r="A65" s="96" t="s">
        <v>22</v>
      </c>
      <c r="B65" s="61">
        <v>27.2</v>
      </c>
      <c r="C65" s="61">
        <v>46.8</v>
      </c>
      <c r="D65" s="61">
        <v>43.3</v>
      </c>
      <c r="E65" s="61">
        <v>37.5</v>
      </c>
      <c r="F65" s="61">
        <v>41</v>
      </c>
      <c r="G65" s="264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thickBot="1" x14ac:dyDescent="0.3">
      <c r="A66" s="96" t="s">
        <v>23</v>
      </c>
      <c r="B66" s="269">
        <v>27.2</v>
      </c>
      <c r="C66" s="269">
        <v>46.8</v>
      </c>
      <c r="D66" s="61">
        <v>43.3</v>
      </c>
      <c r="E66" s="61">
        <v>37.5</v>
      </c>
      <c r="F66" s="61">
        <v>41</v>
      </c>
      <c r="G66" s="265">
        <f t="shared" si="16"/>
        <v>195.8</v>
      </c>
      <c r="H66" s="42"/>
      <c r="I66" s="42"/>
      <c r="J66" s="42"/>
      <c r="K66" s="2"/>
      <c r="L66" s="2"/>
      <c r="M66" s="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C66" s="2"/>
      <c r="AD66" s="2"/>
      <c r="AE66" s="2"/>
      <c r="AF66" s="2"/>
    </row>
    <row r="67" spans="1:32" ht="33.75" customHeight="1" x14ac:dyDescent="0.25">
      <c r="A67" s="145" t="s">
        <v>9</v>
      </c>
      <c r="B67" s="122">
        <f t="shared" ref="B67:G67" si="17">SUM(B60:B66)</f>
        <v>133.6</v>
      </c>
      <c r="C67" s="120">
        <f t="shared" si="17"/>
        <v>230.10000000000002</v>
      </c>
      <c r="D67" s="120">
        <f t="shared" si="17"/>
        <v>212.7</v>
      </c>
      <c r="E67" s="120">
        <f t="shared" si="17"/>
        <v>184.2</v>
      </c>
      <c r="F67" s="120">
        <f t="shared" si="17"/>
        <v>201.6</v>
      </c>
      <c r="G67" s="263">
        <f t="shared" si="17"/>
        <v>962.2</v>
      </c>
      <c r="H67" s="243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8" t="s">
        <v>11</v>
      </c>
      <c r="B68" s="23">
        <v>83</v>
      </c>
      <c r="C68" s="24">
        <v>83</v>
      </c>
      <c r="D68" s="24">
        <v>83</v>
      </c>
      <c r="E68" s="24">
        <v>82.5</v>
      </c>
      <c r="F68" s="24">
        <v>82.5</v>
      </c>
      <c r="G68" s="128">
        <f>+((G67/G69)/7)*1000</f>
        <v>82.80550774526678</v>
      </c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3"/>
      <c r="Z68" s="3"/>
      <c r="AA68" s="3"/>
      <c r="AB68" s="3"/>
      <c r="AC68" s="2"/>
      <c r="AD68" s="2"/>
      <c r="AE68" s="2"/>
      <c r="AF68" s="2"/>
    </row>
    <row r="69" spans="1:32" ht="33.75" customHeight="1" x14ac:dyDescent="0.25">
      <c r="A69" s="149" t="s">
        <v>12</v>
      </c>
      <c r="B69" s="241">
        <v>230</v>
      </c>
      <c r="C69" s="278">
        <v>396</v>
      </c>
      <c r="D69" s="278">
        <v>366</v>
      </c>
      <c r="E69" s="278">
        <v>319</v>
      </c>
      <c r="F69" s="278">
        <v>349</v>
      </c>
      <c r="G69" s="276">
        <f>SUM(B69:F69)</f>
        <v>1660</v>
      </c>
      <c r="K69" s="59"/>
      <c r="L69" s="59"/>
      <c r="M69" s="59"/>
      <c r="Q69" s="3"/>
      <c r="R69" s="3"/>
      <c r="S69" s="3"/>
      <c r="T69" s="3"/>
      <c r="U69" s="3"/>
    </row>
    <row r="70" spans="1:32" ht="33.75" customHeight="1" x14ac:dyDescent="0.25">
      <c r="A70" s="150" t="s">
        <v>13</v>
      </c>
      <c r="B70" s="30">
        <f>((((B68*7)*B69)/1000)-B61)/4</f>
        <v>27.182499999999997</v>
      </c>
      <c r="C70" s="30">
        <f>((((C68*7)*C69)/1000)-C61)/4</f>
        <v>46.793999999999997</v>
      </c>
      <c r="D70" s="30">
        <f>((((D68*7)*D69)/1000)-D61)/4</f>
        <v>43.286499999999997</v>
      </c>
      <c r="E70" s="30">
        <f>((((E68*7)*E69)/1000)-E61)/4</f>
        <v>37.480625000000003</v>
      </c>
      <c r="F70" s="30">
        <f>((((F68*7)*F69)/1000)-F61)/4</f>
        <v>40.961875000000006</v>
      </c>
      <c r="G70" s="130">
        <f>((G67*1000)/G69)/7</f>
        <v>82.80550774526678</v>
      </c>
      <c r="Q70" s="3"/>
      <c r="R70" s="3"/>
      <c r="S70" s="3"/>
      <c r="T70" s="3"/>
      <c r="U70" s="3"/>
    </row>
    <row r="71" spans="1:32" ht="33.75" customHeight="1" x14ac:dyDescent="0.25">
      <c r="A71" s="151" t="s">
        <v>14</v>
      </c>
      <c r="B71" s="281">
        <f>((B69*B68)*7)/1000</f>
        <v>133.63</v>
      </c>
      <c r="C71" s="282">
        <f>((C69*C68)*7)/1000</f>
        <v>230.07599999999999</v>
      </c>
      <c r="D71" s="282">
        <f>((D69*D68)*7)/1000</f>
        <v>212.64599999999999</v>
      </c>
      <c r="E71" s="282">
        <f>((E69*E68)*7)/1000</f>
        <v>184.2225</v>
      </c>
      <c r="F71" s="282">
        <f>((F69*F68)*7)/1000</f>
        <v>201.54750000000001</v>
      </c>
      <c r="G71" s="108"/>
      <c r="H71" s="41"/>
      <c r="I71" s="41"/>
      <c r="J71" s="41"/>
      <c r="U71" s="3"/>
    </row>
    <row r="72" spans="1:32" ht="33.75" customHeight="1" thickBot="1" x14ac:dyDescent="0.3">
      <c r="A72" s="152" t="s">
        <v>15</v>
      </c>
      <c r="B72" s="37">
        <f>+(B67/B69)/7*1000</f>
        <v>82.981366459627324</v>
      </c>
      <c r="C72" s="38">
        <f>+(C67/C69)/7*1000</f>
        <v>83.008658008658017</v>
      </c>
      <c r="D72" s="38">
        <f>+(D67/D69)/7*1000</f>
        <v>83.021077283372364</v>
      </c>
      <c r="E72" s="38">
        <f>+(E67/E69)/7*1000</f>
        <v>82.489923869234218</v>
      </c>
      <c r="F72" s="38">
        <f>+(F67/F69)/7*1000</f>
        <v>82.521489971346696</v>
      </c>
      <c r="G72" s="40"/>
      <c r="U72" s="3"/>
    </row>
    <row r="73" spans="1:32" ht="33.75" customHeight="1" x14ac:dyDescent="0.25">
      <c r="B73" s="42">
        <f t="shared" ref="B73:F74" si="18">B71-B67</f>
        <v>3.0000000000001137E-2</v>
      </c>
      <c r="C73" s="42">
        <f t="shared" si="18"/>
        <v>-2.4000000000029331E-2</v>
      </c>
      <c r="D73" s="42">
        <f t="shared" si="18"/>
        <v>-5.4000000000002046E-2</v>
      </c>
      <c r="E73" s="42">
        <f t="shared" si="18"/>
        <v>2.2500000000007958E-2</v>
      </c>
      <c r="F73" s="42">
        <f t="shared" si="18"/>
        <v>-5.2499999999980673E-2</v>
      </c>
    </row>
    <row r="74" spans="1:32" ht="33.75" customHeight="1" x14ac:dyDescent="0.25">
      <c r="B74" s="42">
        <f t="shared" si="18"/>
        <v>-1.8633540372675839E-2</v>
      </c>
      <c r="C74" s="42">
        <f t="shared" si="18"/>
        <v>8.6580086580170246E-3</v>
      </c>
      <c r="D74" s="42">
        <f t="shared" si="18"/>
        <v>2.1077283372363809E-2</v>
      </c>
      <c r="E74" s="42">
        <f t="shared" si="18"/>
        <v>-1.0076130765781954E-2</v>
      </c>
      <c r="F74" s="42">
        <f t="shared" si="18"/>
        <v>2.1489971346696279E-2</v>
      </c>
      <c r="G74" s="45"/>
      <c r="H74" s="45"/>
      <c r="I74" s="45"/>
      <c r="J74" s="45"/>
      <c r="K74" s="45"/>
      <c r="L74" s="52"/>
      <c r="M74" s="52"/>
      <c r="N74" s="52"/>
    </row>
    <row r="75" spans="1:32" ht="33.75" customHeight="1" x14ac:dyDescent="0.25">
      <c r="B75" s="42"/>
      <c r="C75" s="42"/>
      <c r="D75" s="42"/>
      <c r="E75" s="42"/>
      <c r="F75" s="42"/>
    </row>
    <row r="76" spans="1:32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1">
    <mergeCell ref="W9:X9"/>
    <mergeCell ref="P11:Q11"/>
    <mergeCell ref="B15:K15"/>
    <mergeCell ref="L15:O15"/>
    <mergeCell ref="P15:Y15"/>
    <mergeCell ref="O56:P56"/>
    <mergeCell ref="B57:G57"/>
    <mergeCell ref="A3:C3"/>
    <mergeCell ref="E9:G9"/>
    <mergeCell ref="Q36:U36"/>
    <mergeCell ref="B36:J36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6"/>
  <dimension ref="A1:AJ240"/>
  <sheetViews>
    <sheetView topLeftCell="A14" zoomScale="30" zoomScaleNormal="30" workbookViewId="0">
      <selection activeCell="A33" sqref="A33:XFD41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68</v>
      </c>
      <c r="Q11" s="1022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1038" t="s">
        <v>63</v>
      </c>
      <c r="M15" s="1028"/>
      <c r="N15" s="1028"/>
      <c r="O15" s="1029"/>
      <c r="P15" s="1038" t="s">
        <v>8</v>
      </c>
      <c r="Q15" s="1028"/>
      <c r="R15" s="1028"/>
      <c r="S15" s="1028"/>
      <c r="T15" s="1028"/>
      <c r="U15" s="1028"/>
      <c r="V15" s="1028"/>
      <c r="W15" s="1028"/>
      <c r="X15" s="1028"/>
      <c r="Y15" s="1029"/>
      <c r="AA15" s="193"/>
    </row>
    <row r="16" spans="1:35" ht="39.950000000000003" customHeight="1" thickBot="1" x14ac:dyDescent="0.3">
      <c r="A16" s="180" t="s">
        <v>34</v>
      </c>
      <c r="B16" s="169">
        <v>5</v>
      </c>
      <c r="C16" s="162">
        <v>4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6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304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18">
        <v>50.3</v>
      </c>
      <c r="Q18" s="19">
        <v>74</v>
      </c>
      <c r="R18" s="19">
        <v>34.4</v>
      </c>
      <c r="S18" s="19">
        <v>29.5</v>
      </c>
      <c r="T18" s="19">
        <v>23.4</v>
      </c>
      <c r="U18" s="19">
        <v>47.7</v>
      </c>
      <c r="V18" s="19">
        <v>48.2</v>
      </c>
      <c r="W18" s="104">
        <v>48.2</v>
      </c>
      <c r="X18" s="284">
        <v>61</v>
      </c>
      <c r="Y18" s="98">
        <f>SUM(B18:X18)</f>
        <v>416.7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291"/>
      <c r="Q19" s="292"/>
      <c r="R19" s="292"/>
      <c r="S19" s="292"/>
      <c r="T19" s="292"/>
      <c r="U19" s="292"/>
      <c r="V19" s="292"/>
      <c r="W19" s="300"/>
      <c r="X19" s="293"/>
      <c r="Y19" s="299">
        <f t="shared" ref="Y19:Y24" si="0">SUM(B19:X19)</f>
        <v>590.19999999999993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18">
        <v>51.7</v>
      </c>
      <c r="Q20" s="19">
        <v>78.2</v>
      </c>
      <c r="R20" s="19">
        <v>37.9</v>
      </c>
      <c r="S20" s="19">
        <v>33.1</v>
      </c>
      <c r="T20" s="19">
        <v>26.2</v>
      </c>
      <c r="U20" s="19">
        <v>52.1</v>
      </c>
      <c r="V20" s="19">
        <v>51.2</v>
      </c>
      <c r="W20" s="104">
        <v>51.3</v>
      </c>
      <c r="X20" s="20">
        <v>62.3</v>
      </c>
      <c r="Y20" s="98">
        <f t="shared" si="0"/>
        <v>1076.7000000000003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18">
        <v>51.7</v>
      </c>
      <c r="Q21" s="19">
        <v>78.2</v>
      </c>
      <c r="R21" s="19">
        <v>37.9</v>
      </c>
      <c r="S21" s="19">
        <v>33.1</v>
      </c>
      <c r="T21" s="19">
        <v>26.2</v>
      </c>
      <c r="U21" s="19">
        <v>52.1</v>
      </c>
      <c r="V21" s="19">
        <v>51.2</v>
      </c>
      <c r="W21" s="104">
        <v>51.3</v>
      </c>
      <c r="X21" s="20">
        <v>62.3</v>
      </c>
      <c r="Y21" s="98">
        <f t="shared" si="0"/>
        <v>1077.5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291"/>
      <c r="Q22" s="292"/>
      <c r="R22" s="292"/>
      <c r="S22" s="292"/>
      <c r="T22" s="292"/>
      <c r="U22" s="292"/>
      <c r="V22" s="292"/>
      <c r="W22" s="300"/>
      <c r="X22" s="293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18">
        <v>51.7</v>
      </c>
      <c r="Q23" s="19">
        <v>78.2</v>
      </c>
      <c r="R23" s="19">
        <v>37.9</v>
      </c>
      <c r="S23" s="19">
        <v>33.1</v>
      </c>
      <c r="T23" s="19">
        <v>26.2</v>
      </c>
      <c r="U23" s="19">
        <v>52.1</v>
      </c>
      <c r="V23" s="19">
        <v>51.2</v>
      </c>
      <c r="W23" s="104">
        <v>51.3</v>
      </c>
      <c r="X23" s="20">
        <v>62.3</v>
      </c>
      <c r="Y23" s="98">
        <f t="shared" si="0"/>
        <v>1077.7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226">
        <v>51.7</v>
      </c>
      <c r="Q24" s="227">
        <v>78.2</v>
      </c>
      <c r="R24" s="227">
        <v>37.9</v>
      </c>
      <c r="S24" s="227">
        <v>33.1</v>
      </c>
      <c r="T24" s="227">
        <v>26.3</v>
      </c>
      <c r="U24" s="227">
        <v>52.1</v>
      </c>
      <c r="V24" s="227">
        <v>51.2</v>
      </c>
      <c r="W24" s="325">
        <v>51.3</v>
      </c>
      <c r="X24" s="228">
        <v>62.3</v>
      </c>
      <c r="Y24" s="330">
        <f t="shared" si="0"/>
        <v>1077.8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X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22">
        <f t="shared" si="1"/>
        <v>257.09999999999997</v>
      </c>
      <c r="Q25" s="120">
        <f t="shared" si="1"/>
        <v>386.79999999999995</v>
      </c>
      <c r="R25" s="120">
        <f t="shared" si="1"/>
        <v>186</v>
      </c>
      <c r="S25" s="120">
        <f t="shared" si="1"/>
        <v>161.9</v>
      </c>
      <c r="T25" s="120">
        <f t="shared" si="1"/>
        <v>128.30000000000001</v>
      </c>
      <c r="U25" s="120">
        <f t="shared" si="1"/>
        <v>256.10000000000002</v>
      </c>
      <c r="V25" s="120">
        <f t="shared" si="1"/>
        <v>253</v>
      </c>
      <c r="W25" s="268">
        <f t="shared" si="1"/>
        <v>253.40000000000003</v>
      </c>
      <c r="X25" s="121">
        <f t="shared" si="1"/>
        <v>310.2</v>
      </c>
      <c r="Y25" s="326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3">
        <v>65</v>
      </c>
      <c r="Q26" s="24">
        <v>66.5</v>
      </c>
      <c r="R26" s="24">
        <v>68.5</v>
      </c>
      <c r="S26" s="24">
        <v>69.5</v>
      </c>
      <c r="T26" s="24">
        <v>66.5</v>
      </c>
      <c r="U26" s="24">
        <v>65.5</v>
      </c>
      <c r="V26" s="24">
        <v>64</v>
      </c>
      <c r="W26" s="155">
        <v>64</v>
      </c>
      <c r="X26" s="25">
        <v>62</v>
      </c>
      <c r="Y26" s="327">
        <f>((Y25/Y27)/7)*1000</f>
        <v>68.22188859375602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26">
        <v>563</v>
      </c>
      <c r="Q27" s="27">
        <v>829</v>
      </c>
      <c r="R27" s="27">
        <v>386</v>
      </c>
      <c r="S27" s="27">
        <v>331</v>
      </c>
      <c r="T27" s="27">
        <v>274</v>
      </c>
      <c r="U27" s="27">
        <v>557</v>
      </c>
      <c r="V27" s="27">
        <v>563</v>
      </c>
      <c r="W27" s="156">
        <v>564</v>
      </c>
      <c r="X27" s="28">
        <v>713</v>
      </c>
      <c r="Y27" s="328">
        <f>SUM(B27:W27)</f>
        <v>11133</v>
      </c>
      <c r="AA27" s="222"/>
    </row>
    <row r="28" spans="1:36" s="2" customFormat="1" ht="33" customHeight="1" x14ac:dyDescent="0.25">
      <c r="A28" s="150" t="s">
        <v>13</v>
      </c>
      <c r="B28" s="30">
        <f>((((B26*7)*B27)/1000)-B19)/4</f>
        <v>28.047624999999996</v>
      </c>
      <c r="C28" s="31">
        <f>((((C26*7)*C27)/1000)-C19)/4</f>
        <v>54.383375000000001</v>
      </c>
      <c r="D28" s="31">
        <f t="shared" ref="D28:O28" si="2">((((D26*7)*D27)/1000)-D19)/4</f>
        <v>69.082750000000004</v>
      </c>
      <c r="E28" s="31">
        <f t="shared" si="2"/>
        <v>51.591875000000002</v>
      </c>
      <c r="F28" s="31">
        <f t="shared" si="2"/>
        <v>37.393874999999994</v>
      </c>
      <c r="G28" s="31">
        <f t="shared" si="2"/>
        <v>26.493125000000003</v>
      </c>
      <c r="H28" s="31">
        <f t="shared" si="2"/>
        <v>63.873874999999998</v>
      </c>
      <c r="I28" s="31">
        <f t="shared" si="2"/>
        <v>74.366</v>
      </c>
      <c r="J28" s="31">
        <f t="shared" si="2"/>
        <v>46.690624999999997</v>
      </c>
      <c r="K28" s="142">
        <f t="shared" si="2"/>
        <v>20.764749999999999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0">
        <f>((((P26*7)*P27)/1000)-P18)/4</f>
        <v>51.466250000000002</v>
      </c>
      <c r="Q28" s="31">
        <f>((((Q26*7)*Q27)/1000)-Q18)/4</f>
        <v>77.974874999999997</v>
      </c>
      <c r="R28" s="31">
        <f t="shared" ref="R28:X28" si="3">((((R26*7)*R27)/1000)-R18)/4</f>
        <v>37.671749999999996</v>
      </c>
      <c r="S28" s="31">
        <f t="shared" si="3"/>
        <v>32.882874999999999</v>
      </c>
      <c r="T28" s="31">
        <f t="shared" si="3"/>
        <v>26.036749999999998</v>
      </c>
      <c r="U28" s="31">
        <f t="shared" si="3"/>
        <v>51.921125000000004</v>
      </c>
      <c r="V28" s="31">
        <f t="shared" si="3"/>
        <v>51.006</v>
      </c>
      <c r="W28" s="31">
        <f t="shared" si="3"/>
        <v>51.117999999999995</v>
      </c>
      <c r="X28" s="32">
        <f t="shared" si="3"/>
        <v>62.110500000000002</v>
      </c>
      <c r="Y28" s="329">
        <f>((Y25*1000)/7)/Y27</f>
        <v>68.221888593756006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4">((D27*D26)*7)/1000</f>
        <v>340.43099999999998</v>
      </c>
      <c r="E29" s="282">
        <f t="shared" si="4"/>
        <v>254.4675</v>
      </c>
      <c r="F29" s="282">
        <f t="shared" si="4"/>
        <v>184.77549999999999</v>
      </c>
      <c r="G29" s="282">
        <f t="shared" si="4"/>
        <v>130.67250000000001</v>
      </c>
      <c r="H29" s="282">
        <f t="shared" si="4"/>
        <v>314.69549999999998</v>
      </c>
      <c r="I29" s="282">
        <f t="shared" si="4"/>
        <v>366.464</v>
      </c>
      <c r="J29" s="282">
        <f t="shared" si="4"/>
        <v>230.5625</v>
      </c>
      <c r="K29" s="283">
        <f t="shared" si="4"/>
        <v>102.459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1">
        <f t="shared" si="4"/>
        <v>256.16500000000002</v>
      </c>
      <c r="Q29" s="282">
        <f t="shared" si="4"/>
        <v>385.89949999999999</v>
      </c>
      <c r="R29" s="282">
        <f t="shared" si="4"/>
        <v>185.08699999999999</v>
      </c>
      <c r="S29" s="282">
        <f t="shared" si="4"/>
        <v>161.03149999999999</v>
      </c>
      <c r="T29" s="282">
        <f t="shared" si="4"/>
        <v>127.547</v>
      </c>
      <c r="U29" s="282">
        <f t="shared" si="4"/>
        <v>255.3845</v>
      </c>
      <c r="V29" s="282">
        <f t="shared" si="4"/>
        <v>252.22399999999999</v>
      </c>
      <c r="W29" s="283">
        <f t="shared" si="4"/>
        <v>252.672</v>
      </c>
      <c r="X29" s="284">
        <f>((X27*X26)*7)/1000</f>
        <v>309.44200000000001</v>
      </c>
      <c r="Y29" s="254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5">+(C25/C27)/7*1000</f>
        <v>63.492063492063487</v>
      </c>
      <c r="D30" s="38">
        <f t="shared" si="5"/>
        <v>64.494126563092067</v>
      </c>
      <c r="E30" s="38">
        <f t="shared" si="5"/>
        <v>65.5083655083655</v>
      </c>
      <c r="F30" s="38">
        <f t="shared" si="5"/>
        <v>65.508684863523584</v>
      </c>
      <c r="G30" s="38">
        <f t="shared" si="5"/>
        <v>65.513784461152866</v>
      </c>
      <c r="H30" s="38">
        <f t="shared" si="5"/>
        <v>64.500922320147566</v>
      </c>
      <c r="I30" s="38">
        <f t="shared" si="5"/>
        <v>64.006287111421585</v>
      </c>
      <c r="J30" s="38">
        <f t="shared" si="5"/>
        <v>62.510165356465158</v>
      </c>
      <c r="K30" s="158">
        <f t="shared" si="5"/>
        <v>61.524609843937561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7">
        <f t="shared" si="5"/>
        <v>65.237249429078915</v>
      </c>
      <c r="Q30" s="38">
        <f t="shared" si="5"/>
        <v>66.655178356022731</v>
      </c>
      <c r="R30" s="38">
        <f t="shared" si="5"/>
        <v>68.837897853441902</v>
      </c>
      <c r="S30" s="38">
        <f t="shared" si="5"/>
        <v>69.874838152783767</v>
      </c>
      <c r="T30" s="38">
        <f t="shared" si="5"/>
        <v>66.892596454640255</v>
      </c>
      <c r="U30" s="38">
        <f t="shared" si="5"/>
        <v>65.683508591946662</v>
      </c>
      <c r="V30" s="38">
        <f t="shared" si="5"/>
        <v>64.196904339000255</v>
      </c>
      <c r="W30" s="158">
        <f t="shared" si="5"/>
        <v>64.184397163120579</v>
      </c>
      <c r="X30" s="39">
        <f>+(X25/X27)/7*1000</f>
        <v>62.151873372069723</v>
      </c>
      <c r="Y30" s="237"/>
      <c r="AA30" s="42"/>
    </row>
    <row r="31" spans="1:36" ht="33.75" customHeight="1" x14ac:dyDescent="0.25">
      <c r="A31" s="41"/>
      <c r="B31" s="42">
        <f t="shared" ref="B31:X31" si="6">B29-B25</f>
        <v>-9.5000000000027285E-3</v>
      </c>
      <c r="C31" s="42">
        <f t="shared" si="6"/>
        <v>3.3500000000003638E-2</v>
      </c>
      <c r="D31" s="42">
        <f t="shared" si="6"/>
        <v>3.1000000000005912E-2</v>
      </c>
      <c r="E31" s="42">
        <f t="shared" si="6"/>
        <v>-3.2499999999998863E-2</v>
      </c>
      <c r="F31" s="42">
        <f t="shared" si="6"/>
        <v>-2.4500000000017508E-2</v>
      </c>
      <c r="G31" s="42">
        <f t="shared" si="6"/>
        <v>-2.7499999999974989E-2</v>
      </c>
      <c r="H31" s="42">
        <f t="shared" si="6"/>
        <v>-4.500000000007276E-3</v>
      </c>
      <c r="I31" s="42">
        <f t="shared" si="6"/>
        <v>-3.6000000000001364E-2</v>
      </c>
      <c r="J31" s="42">
        <f t="shared" si="6"/>
        <v>-3.7499999999965894E-2</v>
      </c>
      <c r="K31" s="42">
        <f t="shared" si="6"/>
        <v>-4.0999999999982606E-2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 t="shared" si="6"/>
        <v>-0.93499999999994543</v>
      </c>
      <c r="Q31" s="42">
        <f t="shared" si="6"/>
        <v>-0.90049999999996544</v>
      </c>
      <c r="R31" s="42">
        <f t="shared" si="6"/>
        <v>-0.91300000000001091</v>
      </c>
      <c r="S31" s="42">
        <f t="shared" si="6"/>
        <v>-0.8685000000000116</v>
      </c>
      <c r="T31" s="42">
        <f t="shared" si="6"/>
        <v>-0.75300000000001432</v>
      </c>
      <c r="U31" s="42">
        <f t="shared" si="6"/>
        <v>-0.71550000000002001</v>
      </c>
      <c r="V31" s="42">
        <f t="shared" si="6"/>
        <v>-0.77600000000001046</v>
      </c>
      <c r="W31" s="42">
        <f t="shared" si="6"/>
        <v>-0.72800000000003706</v>
      </c>
      <c r="X31" s="42">
        <f t="shared" si="6"/>
        <v>-0.75799999999998136</v>
      </c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 t="shared" ref="B32:X32" si="7">B30-B26</f>
        <v>4.2278593680435961E-3</v>
      </c>
      <c r="C32" s="42">
        <f t="shared" si="7"/>
        <v>-7.9365079365132374E-3</v>
      </c>
      <c r="D32" s="42">
        <f t="shared" si="7"/>
        <v>-5.8734369079331827E-3</v>
      </c>
      <c r="E32" s="42">
        <f t="shared" si="7"/>
        <v>8.3655083655003182E-3</v>
      </c>
      <c r="F32" s="42">
        <f t="shared" si="7"/>
        <v>8.6848635235838856E-3</v>
      </c>
      <c r="G32" s="42">
        <f t="shared" si="7"/>
        <v>1.3784461152866356E-2</v>
      </c>
      <c r="H32" s="42">
        <f t="shared" si="7"/>
        <v>9.2232014756632452E-4</v>
      </c>
      <c r="I32" s="42">
        <f t="shared" si="7"/>
        <v>6.2871114215852231E-3</v>
      </c>
      <c r="J32" s="42">
        <f t="shared" si="7"/>
        <v>1.0165356465158482E-2</v>
      </c>
      <c r="K32" s="42">
        <f t="shared" si="7"/>
        <v>2.4609843937561493E-2</v>
      </c>
      <c r="L32" s="42">
        <f t="shared" si="7"/>
        <v>1.2793176972280662E-2</v>
      </c>
      <c r="M32" s="42">
        <f t="shared" si="7"/>
        <v>-6.5488882119950631E-3</v>
      </c>
      <c r="N32" s="42">
        <f t="shared" si="7"/>
        <v>6.1050061049883197E-4</v>
      </c>
      <c r="O32" s="42">
        <f t="shared" si="7"/>
        <v>7.2886297376228981E-3</v>
      </c>
      <c r="P32" s="42">
        <f t="shared" si="7"/>
        <v>0.23724942907891489</v>
      </c>
      <c r="Q32" s="42">
        <f t="shared" si="7"/>
        <v>0.15517835602273067</v>
      </c>
      <c r="R32" s="42">
        <f t="shared" si="7"/>
        <v>0.33789785344190193</v>
      </c>
      <c r="S32" s="42">
        <f t="shared" si="7"/>
        <v>0.37483815278376653</v>
      </c>
      <c r="T32" s="42">
        <f t="shared" si="7"/>
        <v>0.39259645464025539</v>
      </c>
      <c r="U32" s="42">
        <f t="shared" si="7"/>
        <v>0.18350859194666214</v>
      </c>
      <c r="V32" s="42">
        <f t="shared" si="7"/>
        <v>0.19690433900025539</v>
      </c>
      <c r="W32" s="42">
        <f t="shared" si="7"/>
        <v>0.18439716312057897</v>
      </c>
      <c r="X32" s="42">
        <f t="shared" si="7"/>
        <v>0.15187337206972273</v>
      </c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3" ht="33.75" customHeight="1" x14ac:dyDescent="0.25">
      <c r="A33" s="41"/>
      <c r="B33" s="308"/>
      <c r="C33" s="308"/>
      <c r="D33" s="308"/>
      <c r="E33" s="308"/>
      <c r="F33" s="308"/>
      <c r="G33" s="308"/>
      <c r="H33" s="308"/>
      <c r="I33" s="308"/>
      <c r="J33" s="308"/>
      <c r="K33" s="308"/>
      <c r="L33" s="308"/>
      <c r="M33" s="308"/>
      <c r="N33" s="308"/>
      <c r="O33" s="308"/>
      <c r="P33" s="308"/>
      <c r="Q33" s="308"/>
      <c r="R33" s="308"/>
      <c r="S33" s="308"/>
      <c r="T33" s="308"/>
      <c r="U33" s="308"/>
      <c r="V33" s="308"/>
      <c r="W33" s="308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s="2" customFormat="1" ht="33.75" customHeight="1" thickBot="1" x14ac:dyDescent="0.3"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2"/>
      <c r="M34" s="42"/>
      <c r="N34" s="42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3"/>
    </row>
    <row r="35" spans="1:33" ht="33.75" customHeight="1" thickBot="1" x14ac:dyDescent="0.3">
      <c r="A35" s="179" t="s">
        <v>16</v>
      </c>
      <c r="B35" s="1035" t="s">
        <v>8</v>
      </c>
      <c r="C35" s="1036"/>
      <c r="D35" s="1036"/>
      <c r="E35" s="1036"/>
      <c r="F35" s="1036"/>
      <c r="G35" s="1036"/>
      <c r="H35" s="1036"/>
      <c r="I35" s="1036"/>
      <c r="J35" s="1037"/>
      <c r="K35" s="244"/>
      <c r="L35" s="42"/>
      <c r="M35" s="42"/>
      <c r="N35" s="42"/>
      <c r="O35" s="44"/>
      <c r="P35" s="88" t="s">
        <v>18</v>
      </c>
      <c r="Q35" s="1031" t="s">
        <v>8</v>
      </c>
      <c r="R35" s="1032"/>
      <c r="S35" s="1032"/>
      <c r="T35" s="1032"/>
      <c r="U35" s="1033"/>
      <c r="V35" s="45"/>
      <c r="W35" s="45"/>
      <c r="X35" s="45"/>
      <c r="Y35" s="46"/>
      <c r="Z35" s="3"/>
      <c r="AA35" s="45"/>
      <c r="AB35" s="45"/>
      <c r="AC35" s="45"/>
      <c r="AD35" s="3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3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8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3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8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9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3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8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9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3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8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9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3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8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9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3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8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9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3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8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9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3" ht="33.75" customHeight="1" x14ac:dyDescent="0.25">
      <c r="A45" s="145" t="s">
        <v>9</v>
      </c>
      <c r="B45" s="225">
        <f t="shared" ref="B45:I45" si="10">SUM(B38:B44)</f>
        <v>188.79999999999998</v>
      </c>
      <c r="C45" s="201">
        <f t="shared" si="10"/>
        <v>266.5</v>
      </c>
      <c r="D45" s="201">
        <f t="shared" si="10"/>
        <v>207.60000000000002</v>
      </c>
      <c r="E45" s="201">
        <f t="shared" si="10"/>
        <v>149.20000000000002</v>
      </c>
      <c r="F45" s="201">
        <f t="shared" si="10"/>
        <v>122.30000000000001</v>
      </c>
      <c r="G45" s="201">
        <f t="shared" si="10"/>
        <v>192.3</v>
      </c>
      <c r="H45" s="201">
        <f t="shared" si="10"/>
        <v>371.90000000000003</v>
      </c>
      <c r="I45" s="273">
        <f t="shared" si="10"/>
        <v>222.79999999999998</v>
      </c>
      <c r="J45" s="252">
        <f t="shared" si="8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3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3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1">((((C46*7)*C47)/1000)-C39)/4</f>
        <v>54.547499999999999</v>
      </c>
      <c r="D48" s="30">
        <f t="shared" si="11"/>
        <v>42.712000000000003</v>
      </c>
      <c r="E48" s="30">
        <f t="shared" si="11"/>
        <v>30.870999999999999</v>
      </c>
      <c r="F48" s="30">
        <f t="shared" si="11"/>
        <v>25.201875000000001</v>
      </c>
      <c r="G48" s="30">
        <f t="shared" si="11"/>
        <v>39.434750000000001</v>
      </c>
      <c r="H48" s="30">
        <f t="shared" si="11"/>
        <v>75.777500000000003</v>
      </c>
      <c r="I48" s="30">
        <f t="shared" si="11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2">((B47*B46)*7)/1000</f>
        <v>188.762</v>
      </c>
      <c r="C49" s="282">
        <f t="shared" si="12"/>
        <v>266.49</v>
      </c>
      <c r="D49" s="282">
        <f t="shared" si="12"/>
        <v>207.648</v>
      </c>
      <c r="E49" s="282">
        <f t="shared" si="12"/>
        <v>149.184</v>
      </c>
      <c r="F49" s="282">
        <f t="shared" si="12"/>
        <v>122.3075</v>
      </c>
      <c r="G49" s="282">
        <f t="shared" si="12"/>
        <v>192.339</v>
      </c>
      <c r="H49" s="282">
        <f t="shared" si="12"/>
        <v>371.91</v>
      </c>
      <c r="I49" s="284">
        <f t="shared" si="12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3">+(B45/B47)/7*1000</f>
        <v>69.513991163475694</v>
      </c>
      <c r="C50" s="38">
        <f t="shared" si="13"/>
        <v>70.502645502645493</v>
      </c>
      <c r="D50" s="38">
        <f t="shared" si="13"/>
        <v>71.983356449375876</v>
      </c>
      <c r="E50" s="38">
        <f t="shared" si="13"/>
        <v>74.007936507936506</v>
      </c>
      <c r="F50" s="38">
        <f t="shared" si="13"/>
        <v>72.49555423829284</v>
      </c>
      <c r="G50" s="38">
        <f t="shared" si="13"/>
        <v>70.985603543743082</v>
      </c>
      <c r="H50" s="38">
        <f t="shared" si="13"/>
        <v>68.998144712430431</v>
      </c>
      <c r="I50" s="39">
        <f t="shared" si="13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4">C49-C45</f>
        <v>-9.9999999999909051E-3</v>
      </c>
      <c r="D51" s="42">
        <f t="shared" si="14"/>
        <v>4.7999999999973397E-2</v>
      </c>
      <c r="E51" s="42">
        <f t="shared" si="14"/>
        <v>-1.6000000000019554E-2</v>
      </c>
      <c r="F51" s="42">
        <f t="shared" si="14"/>
        <v>7.4999999999931788E-3</v>
      </c>
      <c r="G51" s="42">
        <f t="shared" si="14"/>
        <v>3.8999999999987267E-2</v>
      </c>
      <c r="H51" s="42">
        <f t="shared" si="14"/>
        <v>9.9999999999909051E-3</v>
      </c>
      <c r="I51" s="42">
        <f t="shared" si="14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5">R49-R45</f>
        <v>1.1999999999986244E-2</v>
      </c>
      <c r="S51" s="42">
        <f t="shared" si="15"/>
        <v>-4.399999999999693E-2</v>
      </c>
      <c r="T51" s="42">
        <f t="shared" si="15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4"/>
        <v>2.6455026454925701E-3</v>
      </c>
      <c r="D52" s="42">
        <f t="shared" si="14"/>
        <v>-1.6643550624124259E-2</v>
      </c>
      <c r="E52" s="42">
        <f t="shared" si="14"/>
        <v>7.936507936506132E-3</v>
      </c>
      <c r="F52" s="42">
        <f t="shared" si="14"/>
        <v>-4.4457617071600453E-3</v>
      </c>
      <c r="G52" s="42">
        <f t="shared" si="14"/>
        <v>-1.43964562569181E-2</v>
      </c>
      <c r="H52" s="42">
        <f t="shared" si="14"/>
        <v>-1.8552875695689863E-3</v>
      </c>
      <c r="I52" s="42">
        <f t="shared" si="14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5"/>
        <v>-8.9753178758371632E-3</v>
      </c>
      <c r="S52" s="42">
        <f t="shared" si="15"/>
        <v>4.7261009667010967E-2</v>
      </c>
      <c r="T52" s="42">
        <f t="shared" si="15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8"/>
      <c r="P55" s="1018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5" t="s">
        <v>63</v>
      </c>
      <c r="C56" s="1036"/>
      <c r="D56" s="1036"/>
      <c r="E56" s="1036"/>
      <c r="F56" s="1036"/>
      <c r="G56" s="1037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6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6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6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6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6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6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7">SUM(B59:B65)</f>
        <v>133.6</v>
      </c>
      <c r="C66" s="120">
        <f t="shared" si="17"/>
        <v>230.10000000000002</v>
      </c>
      <c r="D66" s="120">
        <f t="shared" si="17"/>
        <v>212.7</v>
      </c>
      <c r="E66" s="120">
        <f t="shared" si="17"/>
        <v>184.2</v>
      </c>
      <c r="F66" s="120">
        <f t="shared" si="17"/>
        <v>201.6</v>
      </c>
      <c r="G66" s="263">
        <f t="shared" si="17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8">C70-C66</f>
        <v>-2.4000000000029331E-2</v>
      </c>
      <c r="D72" s="42">
        <f t="shared" si="18"/>
        <v>-5.4000000000002046E-2</v>
      </c>
      <c r="E72" s="42">
        <f t="shared" si="18"/>
        <v>2.2500000000007958E-2</v>
      </c>
      <c r="F72" s="42">
        <f t="shared" si="18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8"/>
        <v>8.6580086580170246E-3</v>
      </c>
      <c r="D73" s="42">
        <f t="shared" si="18"/>
        <v>2.1077283372363809E-2</v>
      </c>
      <c r="E73" s="42">
        <f t="shared" si="18"/>
        <v>-1.0076130765781954E-2</v>
      </c>
      <c r="F73" s="42">
        <f t="shared" si="18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W9:X9"/>
    <mergeCell ref="P11:Q11"/>
    <mergeCell ref="B15:K15"/>
    <mergeCell ref="L15:O15"/>
    <mergeCell ref="P15:Y15"/>
    <mergeCell ref="B35:J35"/>
    <mergeCell ref="Q35:U35"/>
    <mergeCell ref="O55:P55"/>
    <mergeCell ref="B56:G56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7"/>
  <dimension ref="A1:AK240"/>
  <sheetViews>
    <sheetView topLeftCell="A56" zoomScale="30" zoomScaleNormal="30" workbookViewId="0">
      <selection activeCell="G62" sqref="G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68</v>
      </c>
      <c r="Q11" s="1022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1025" t="s">
        <v>63</v>
      </c>
      <c r="M15" s="1026"/>
      <c r="N15" s="1026"/>
      <c r="O15" s="1026"/>
      <c r="P15" s="1030"/>
      <c r="Q15" s="1038" t="s">
        <v>8</v>
      </c>
      <c r="R15" s="1028"/>
      <c r="S15" s="1028"/>
      <c r="T15" s="1028"/>
      <c r="U15" s="1028"/>
      <c r="V15" s="1028"/>
      <c r="W15" s="1028"/>
      <c r="X15" s="1028"/>
      <c r="Y15" s="1028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104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48.3</v>
      </c>
      <c r="M21" s="19">
        <v>40.299999999999997</v>
      </c>
      <c r="N21" s="19">
        <v>40.200000000000003</v>
      </c>
      <c r="O21" s="19">
        <v>31.9</v>
      </c>
      <c r="P21" s="104">
        <v>45.5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48.3</v>
      </c>
      <c r="M23" s="19">
        <v>40.299999999999997</v>
      </c>
      <c r="N23" s="19">
        <v>40.200000000000003</v>
      </c>
      <c r="O23" s="19">
        <v>32</v>
      </c>
      <c r="P23" s="104">
        <v>45.7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26">
        <v>48.3</v>
      </c>
      <c r="M24" s="227">
        <v>40.299999999999997</v>
      </c>
      <c r="N24" s="227">
        <v>40.200000000000003</v>
      </c>
      <c r="O24" s="227">
        <v>32</v>
      </c>
      <c r="P24" s="325">
        <v>45.7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225">
        <f t="shared" si="1"/>
        <v>238.3</v>
      </c>
      <c r="M25" s="201">
        <f t="shared" si="1"/>
        <v>198.60000000000002</v>
      </c>
      <c r="N25" s="201">
        <f t="shared" si="1"/>
        <v>198.2</v>
      </c>
      <c r="O25" s="273">
        <f t="shared" si="1"/>
        <v>157.80000000000001</v>
      </c>
      <c r="P25" s="273">
        <f>SUM(P18:P24)</f>
        <v>182.5</v>
      </c>
      <c r="Q25" s="122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5">
        <v>57.5</v>
      </c>
      <c r="Q26" s="2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64.110491857689709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536</v>
      </c>
      <c r="M27" s="27">
        <v>469</v>
      </c>
      <c r="N27" s="27">
        <v>468</v>
      </c>
      <c r="O27" s="28">
        <v>392</v>
      </c>
      <c r="P27" s="28">
        <v>520</v>
      </c>
      <c r="Q27" s="26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11847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O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2">
        <f>((((P26*7)*P27)/1000)-P19)/4</f>
        <v>52.325000000000003</v>
      </c>
      <c r="Q28" s="30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64.110491857689695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4">
        <f>((P27*P26)*7)/1000</f>
        <v>209.3</v>
      </c>
      <c r="Q29" s="281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9">
        <f>+(P25/P27)/7*1000</f>
        <v>50.137362637362635</v>
      </c>
      <c r="Q30" s="3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>P29-P25</f>
        <v>26.800000000000011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>P30-P26</f>
        <v>-7.3626373626373649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5" t="s">
        <v>8</v>
      </c>
      <c r="C35" s="1036"/>
      <c r="D35" s="1036"/>
      <c r="E35" s="1036"/>
      <c r="F35" s="1036"/>
      <c r="G35" s="1036"/>
      <c r="H35" s="1036"/>
      <c r="I35" s="1036"/>
      <c r="J35" s="1037"/>
      <c r="K35" s="244"/>
      <c r="L35" s="42"/>
      <c r="M35" s="42"/>
      <c r="N35" s="42"/>
      <c r="O35" s="44"/>
      <c r="P35" s="88" t="s">
        <v>18</v>
      </c>
      <c r="Q35" s="1031" t="s">
        <v>8</v>
      </c>
      <c r="R35" s="1032"/>
      <c r="S35" s="1032"/>
      <c r="T35" s="1032"/>
      <c r="U35" s="1033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8"/>
      <c r="P55" s="1018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5" t="s">
        <v>63</v>
      </c>
      <c r="C56" s="1036"/>
      <c r="D56" s="1036"/>
      <c r="E56" s="1036"/>
      <c r="F56" s="1036"/>
      <c r="G56" s="1037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5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5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5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5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5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5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5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6">SUM(B59:B65)</f>
        <v>133.6</v>
      </c>
      <c r="C66" s="120">
        <f t="shared" si="16"/>
        <v>230.10000000000002</v>
      </c>
      <c r="D66" s="120">
        <f t="shared" si="16"/>
        <v>212.7</v>
      </c>
      <c r="E66" s="120">
        <f t="shared" si="16"/>
        <v>184.2</v>
      </c>
      <c r="F66" s="120">
        <f t="shared" si="16"/>
        <v>201.6</v>
      </c>
      <c r="G66" s="263">
        <f t="shared" si="16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7">C70-C66</f>
        <v>-2.4000000000029331E-2</v>
      </c>
      <c r="D72" s="42">
        <f t="shared" si="17"/>
        <v>-5.4000000000002046E-2</v>
      </c>
      <c r="E72" s="42">
        <f t="shared" si="17"/>
        <v>2.2500000000007958E-2</v>
      </c>
      <c r="F72" s="42">
        <f t="shared" si="17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7"/>
        <v>8.6580086580170246E-3</v>
      </c>
      <c r="D73" s="42">
        <f t="shared" si="17"/>
        <v>2.1077283372363809E-2</v>
      </c>
      <c r="E73" s="42">
        <f t="shared" si="17"/>
        <v>-1.0076130765781954E-2</v>
      </c>
      <c r="F73" s="42">
        <f t="shared" si="17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>
        <f t="shared" ref="B75:F76" si="18">B62/B68</f>
        <v>0.11826086956521739</v>
      </c>
      <c r="C75" s="42">
        <f t="shared" si="18"/>
        <v>0.11818181818181818</v>
      </c>
      <c r="D75" s="42">
        <f t="shared" si="18"/>
        <v>0.11830601092896174</v>
      </c>
      <c r="E75" s="42">
        <f t="shared" si="18"/>
        <v>0.11755485893416928</v>
      </c>
      <c r="F75" s="42">
        <f t="shared" si="18"/>
        <v>0.1174785100286533</v>
      </c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2">
        <f t="shared" si="18"/>
        <v>0</v>
      </c>
      <c r="C76" s="42">
        <f t="shared" si="18"/>
        <v>0</v>
      </c>
      <c r="D76" s="42">
        <f t="shared" si="18"/>
        <v>0</v>
      </c>
      <c r="E76" s="42">
        <f t="shared" si="18"/>
        <v>0</v>
      </c>
      <c r="F76" s="42">
        <f t="shared" si="18"/>
        <v>0</v>
      </c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2">
        <f>B64/B68</f>
        <v>0.11826086956521739</v>
      </c>
      <c r="C77" s="42">
        <f>C64/C68</f>
        <v>0.11818181818181818</v>
      </c>
      <c r="D77" s="42">
        <f>D64/D68</f>
        <v>0.11830601092896174</v>
      </c>
      <c r="E77" s="42">
        <f>E64/E68</f>
        <v>0.11755485893416928</v>
      </c>
      <c r="F77" s="42">
        <f>F64/F68</f>
        <v>0.1174785100286533</v>
      </c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2">
        <f>B65/B68</f>
        <v>0.11826086956521739</v>
      </c>
      <c r="C78" s="42">
        <f>C65/C68</f>
        <v>0.11818181818181818</v>
      </c>
      <c r="D78" s="42">
        <f>D65/D68</f>
        <v>0.11830601092896174</v>
      </c>
      <c r="E78" s="42">
        <f>E65/E68</f>
        <v>0.11755485893416928</v>
      </c>
      <c r="F78" s="42">
        <f>F65/F68</f>
        <v>0.1174785100286533</v>
      </c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A3:C3"/>
    <mergeCell ref="E9:G9"/>
    <mergeCell ref="W9:X9"/>
    <mergeCell ref="P11:Q11"/>
    <mergeCell ref="B15:K15"/>
    <mergeCell ref="B35:J35"/>
    <mergeCell ref="Q35:U35"/>
    <mergeCell ref="O55:P55"/>
    <mergeCell ref="B56:G56"/>
    <mergeCell ref="Q15:Y15"/>
    <mergeCell ref="L15:P15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8"/>
  <dimension ref="A1:AK243"/>
  <sheetViews>
    <sheetView topLeftCell="C27" zoomScale="30" zoomScaleNormal="30" workbookViewId="0">
      <selection activeCell="L62" sqref="L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68</v>
      </c>
      <c r="Q11" s="1022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3"/>
      <c r="C14" s="333"/>
      <c r="D14" s="333"/>
      <c r="E14" s="333"/>
      <c r="F14" s="333" t="s">
        <v>72</v>
      </c>
      <c r="G14" s="333"/>
      <c r="H14" s="333"/>
      <c r="I14" s="333"/>
      <c r="J14" s="333"/>
      <c r="K14" s="333"/>
      <c r="L14" s="1039" t="s">
        <v>73</v>
      </c>
      <c r="M14" s="1039"/>
      <c r="N14" s="1039"/>
      <c r="O14" s="1039"/>
      <c r="P14" s="1039"/>
      <c r="Q14" s="1040" t="s">
        <v>71</v>
      </c>
      <c r="R14" s="1040"/>
      <c r="S14" s="1040"/>
      <c r="T14" s="1040"/>
      <c r="U14" s="1040"/>
      <c r="V14" s="1040"/>
      <c r="W14" s="1040"/>
      <c r="X14" s="1040"/>
      <c r="Y14" s="1040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1025" t="s">
        <v>63</v>
      </c>
      <c r="M15" s="1026"/>
      <c r="N15" s="1026"/>
      <c r="O15" s="1026"/>
      <c r="P15" s="1030"/>
      <c r="Q15" s="1038" t="s">
        <v>8</v>
      </c>
      <c r="R15" s="1028"/>
      <c r="S15" s="1028"/>
      <c r="T15" s="1028"/>
      <c r="U15" s="1028"/>
      <c r="V15" s="1028"/>
      <c r="W15" s="1028"/>
      <c r="X15" s="1028"/>
      <c r="Y15" s="1028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A18" s="244"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A19" s="244"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20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A20" s="244"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29.5</v>
      </c>
      <c r="M21" s="19">
        <v>29.3</v>
      </c>
      <c r="N21" s="19">
        <v>42.5</v>
      </c>
      <c r="O21" s="19">
        <v>52.5</v>
      </c>
      <c r="P21" s="20">
        <v>52.4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A21" s="244"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29.4</v>
      </c>
      <c r="M23" s="19">
        <v>29.3</v>
      </c>
      <c r="N23" s="19">
        <v>42.5</v>
      </c>
      <c r="O23" s="19">
        <v>52.7</v>
      </c>
      <c r="P23" s="20">
        <v>52.6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A23" s="244"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66">
        <v>29.4</v>
      </c>
      <c r="M24" s="267">
        <v>29.3</v>
      </c>
      <c r="N24" s="267">
        <v>42.5</v>
      </c>
      <c r="O24" s="267">
        <v>52.7</v>
      </c>
      <c r="P24" s="123">
        <v>52.6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1077.8189792663477</v>
      </c>
      <c r="AA24" s="244"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122">
        <f t="shared" si="1"/>
        <v>181.70000000000002</v>
      </c>
      <c r="M25" s="120">
        <f t="shared" si="1"/>
        <v>165.60000000000002</v>
      </c>
      <c r="N25" s="120">
        <f t="shared" si="1"/>
        <v>205.1</v>
      </c>
      <c r="O25" s="120">
        <f t="shared" si="1"/>
        <v>219.8</v>
      </c>
      <c r="P25" s="121">
        <f t="shared" si="1"/>
        <v>203.2</v>
      </c>
      <c r="Q25" s="119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4">
        <v>57.5</v>
      </c>
      <c r="P26" s="25">
        <v>57.5</v>
      </c>
      <c r="Q26" s="6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64.132145321122167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490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11843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P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24.371125000000003</v>
      </c>
      <c r="M28" s="31">
        <f t="shared" si="2"/>
        <v>26.198999999999998</v>
      </c>
      <c r="N28" s="31">
        <f t="shared" si="2"/>
        <v>42.503749999999997</v>
      </c>
      <c r="O28" s="31">
        <f t="shared" si="2"/>
        <v>56.900000000000006</v>
      </c>
      <c r="P28" s="32">
        <f t="shared" si="2"/>
        <v>59.771250000000002</v>
      </c>
      <c r="Q28" s="65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64.132145321122167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142.68450000000001</v>
      </c>
      <c r="M29" s="282">
        <f t="shared" si="4"/>
        <v>142.29599999999999</v>
      </c>
      <c r="N29" s="282">
        <f t="shared" si="4"/>
        <v>207.51499999999999</v>
      </c>
      <c r="O29" s="282">
        <f t="shared" si="4"/>
        <v>257.60000000000002</v>
      </c>
      <c r="P29" s="284">
        <f t="shared" si="4"/>
        <v>239.08500000000001</v>
      </c>
      <c r="Q29" s="285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80.863373386737877</v>
      </c>
      <c r="M30" s="38">
        <f t="shared" si="5"/>
        <v>70.408163265306129</v>
      </c>
      <c r="N30" s="38">
        <f t="shared" si="5"/>
        <v>59.795918367346935</v>
      </c>
      <c r="O30" s="38">
        <f t="shared" si="5"/>
        <v>49.0625</v>
      </c>
      <c r="P30" s="39">
        <f t="shared" si="5"/>
        <v>48.869648869648863</v>
      </c>
      <c r="Q30" s="6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-39.015500000000003</v>
      </c>
      <c r="M31" s="42">
        <f t="shared" si="6"/>
        <v>-23.30400000000003</v>
      </c>
      <c r="N31" s="42">
        <f t="shared" si="6"/>
        <v>2.414999999999992</v>
      </c>
      <c r="O31" s="42">
        <f t="shared" si="6"/>
        <v>37.800000000000011</v>
      </c>
      <c r="P31" s="42">
        <f t="shared" si="6"/>
        <v>35.885000000000019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17.363373386737877</v>
      </c>
      <c r="M32" s="42">
        <f t="shared" si="6"/>
        <v>9.9081632653061291</v>
      </c>
      <c r="N32" s="42">
        <f t="shared" si="6"/>
        <v>-0.70408163265306456</v>
      </c>
      <c r="O32" s="42">
        <f t="shared" si="6"/>
        <v>-8.4375</v>
      </c>
      <c r="P32" s="42">
        <f t="shared" si="6"/>
        <v>-8.6303511303511371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5" t="s">
        <v>8</v>
      </c>
      <c r="C35" s="1036"/>
      <c r="D35" s="1036"/>
      <c r="E35" s="1036"/>
      <c r="F35" s="1036"/>
      <c r="G35" s="1036"/>
      <c r="H35" s="1036"/>
      <c r="I35" s="1036"/>
      <c r="J35" s="1037"/>
      <c r="K35" s="244"/>
      <c r="L35" s="42"/>
      <c r="M35" s="42"/>
      <c r="N35" s="42"/>
      <c r="O35" s="44"/>
      <c r="P35" s="88" t="s">
        <v>18</v>
      </c>
      <c r="Q35" s="1031" t="s">
        <v>8</v>
      </c>
      <c r="R35" s="1032"/>
      <c r="S35" s="1032"/>
      <c r="T35" s="1032"/>
      <c r="U35" s="1033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8"/>
      <c r="P55" s="1018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1" t="s">
        <v>63</v>
      </c>
      <c r="C56" s="1032"/>
      <c r="D56" s="1032"/>
      <c r="E56" s="1032"/>
      <c r="F56" s="1032"/>
      <c r="G56" s="1032"/>
      <c r="H56" s="1033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94"/>
      <c r="H60" s="264">
        <f t="shared" ref="H60:H65" si="15">SUM(B60:G60)</f>
        <v>179.3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27.1</v>
      </c>
      <c r="C61" s="61">
        <v>46.8</v>
      </c>
      <c r="D61" s="61">
        <v>43.3</v>
      </c>
      <c r="E61" s="61">
        <v>37.4</v>
      </c>
      <c r="F61" s="61">
        <v>40.9</v>
      </c>
      <c r="G61" s="94"/>
      <c r="H61" s="264">
        <f t="shared" si="15"/>
        <v>195.5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</v>
      </c>
      <c r="C62" s="61">
        <v>31.3</v>
      </c>
      <c r="D62" s="61">
        <v>40.700000000000003</v>
      </c>
      <c r="E62" s="61">
        <v>38.9</v>
      </c>
      <c r="F62" s="61">
        <v>48.8</v>
      </c>
      <c r="G62" s="94">
        <v>14.1</v>
      </c>
      <c r="H62" s="264">
        <f t="shared" si="15"/>
        <v>195.79999999999998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5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</v>
      </c>
      <c r="C64" s="61">
        <v>31.3</v>
      </c>
      <c r="D64" s="61">
        <v>40.700000000000003</v>
      </c>
      <c r="E64" s="61">
        <v>38.9</v>
      </c>
      <c r="F64" s="61">
        <v>48.8</v>
      </c>
      <c r="G64" s="94">
        <v>14.1</v>
      </c>
      <c r="H64" s="264">
        <f t="shared" si="15"/>
        <v>195.79999999999998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</v>
      </c>
      <c r="C65" s="269">
        <v>31.3</v>
      </c>
      <c r="D65" s="269">
        <v>40.700000000000003</v>
      </c>
      <c r="E65" s="269">
        <v>38.9</v>
      </c>
      <c r="F65" s="269">
        <v>48.8</v>
      </c>
      <c r="G65" s="318">
        <v>14.1</v>
      </c>
      <c r="H65" s="265">
        <f t="shared" si="15"/>
        <v>195.79999999999998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6">SUM(B59:B65)</f>
        <v>118</v>
      </c>
      <c r="C66" s="120">
        <f t="shared" si="16"/>
        <v>183.6</v>
      </c>
      <c r="D66" s="120">
        <f t="shared" si="16"/>
        <v>204.89999999999998</v>
      </c>
      <c r="E66" s="120">
        <f t="shared" si="16"/>
        <v>188.4</v>
      </c>
      <c r="F66" s="120">
        <f t="shared" si="16"/>
        <v>225</v>
      </c>
      <c r="G66" s="121">
        <f t="shared" si="16"/>
        <v>42.3</v>
      </c>
      <c r="H66" s="263">
        <f t="shared" si="16"/>
        <v>962.19999999999993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25">
        <v>82.5</v>
      </c>
      <c r="H67" s="128">
        <f>+((H66/H68)/7)*1000</f>
        <v>82.855420649272361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119</v>
      </c>
      <c r="H68" s="276">
        <f>SUM(B68:G68)</f>
        <v>1659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7">((((B67*7)*B68)/1000)-B60)/4</f>
        <v>20.646250000000002</v>
      </c>
      <c r="C69" s="31">
        <f t="shared" si="17"/>
        <v>27.766249999999999</v>
      </c>
      <c r="D69" s="31">
        <f t="shared" si="17"/>
        <v>40.091000000000001</v>
      </c>
      <c r="E69" s="31">
        <f t="shared" si="17"/>
        <v>39.213125000000005</v>
      </c>
      <c r="F69" s="31">
        <f t="shared" si="17"/>
        <v>50.490624999999994</v>
      </c>
      <c r="G69" s="32">
        <f t="shared" si="17"/>
        <v>17.180624999999999</v>
      </c>
      <c r="H69" s="130">
        <f>((H66*1000)/H68)/7</f>
        <v>82.855420649272361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8">((B68*B67)*7)/1000</f>
        <v>107.485</v>
      </c>
      <c r="C70" s="282">
        <f t="shared" si="18"/>
        <v>153.965</v>
      </c>
      <c r="D70" s="282">
        <f t="shared" si="18"/>
        <v>199.864</v>
      </c>
      <c r="E70" s="282">
        <f t="shared" si="18"/>
        <v>191.1525</v>
      </c>
      <c r="F70" s="282">
        <f t="shared" si="18"/>
        <v>239.66249999999999</v>
      </c>
      <c r="G70" s="284">
        <f t="shared" si="18"/>
        <v>68.722499999999997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9">+(B66/B68)/7*1000</f>
        <v>91.119691119691126</v>
      </c>
      <c r="C71" s="38">
        <f t="shared" si="19"/>
        <v>98.975741239892187</v>
      </c>
      <c r="D71" s="38">
        <f t="shared" si="19"/>
        <v>85.091362126245841</v>
      </c>
      <c r="E71" s="38">
        <f t="shared" si="19"/>
        <v>81.312041432887369</v>
      </c>
      <c r="F71" s="38">
        <f t="shared" si="19"/>
        <v>77.452667814113596</v>
      </c>
      <c r="G71" s="39">
        <f t="shared" si="19"/>
        <v>50.780312124849935</v>
      </c>
      <c r="H71" s="40"/>
      <c r="V71" s="3"/>
    </row>
    <row r="72" spans="1:33" ht="33.75" customHeight="1" x14ac:dyDescent="0.25">
      <c r="B72" s="42">
        <f>B70-B66</f>
        <v>-10.515000000000001</v>
      </c>
      <c r="C72" s="42">
        <f t="shared" ref="C72:F73" si="20">C70-C66</f>
        <v>-29.634999999999991</v>
      </c>
      <c r="D72" s="42">
        <f t="shared" si="20"/>
        <v>-5.0359999999999729</v>
      </c>
      <c r="E72" s="42">
        <f t="shared" si="20"/>
        <v>2.7524999999999977</v>
      </c>
      <c r="F72" s="42">
        <f t="shared" si="20"/>
        <v>14.662499999999994</v>
      </c>
    </row>
    <row r="73" spans="1:33" ht="33.75" customHeight="1" x14ac:dyDescent="0.25">
      <c r="B73" s="42">
        <f>B71-B67</f>
        <v>8.1196911196911259</v>
      </c>
      <c r="C73" s="42">
        <f t="shared" si="20"/>
        <v>15.975741239892187</v>
      </c>
      <c r="D73" s="42">
        <f t="shared" si="20"/>
        <v>2.0913621262458406</v>
      </c>
      <c r="E73" s="42">
        <f t="shared" si="20"/>
        <v>-1.1879585671126307</v>
      </c>
      <c r="F73" s="42">
        <f t="shared" si="20"/>
        <v>-5.047332185886404</v>
      </c>
      <c r="G73" s="45"/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W9:X9"/>
    <mergeCell ref="P11:Q11"/>
    <mergeCell ref="B15:K15"/>
    <mergeCell ref="L15:P15"/>
    <mergeCell ref="Q15:Y15"/>
    <mergeCell ref="L14:P14"/>
    <mergeCell ref="Q14:Y14"/>
    <mergeCell ref="B35:J35"/>
    <mergeCell ref="Q35:U35"/>
    <mergeCell ref="O55:P55"/>
    <mergeCell ref="B56:H56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/>
  <dimension ref="A1:AK243"/>
  <sheetViews>
    <sheetView topLeftCell="A27" zoomScale="30" zoomScaleNormal="30" workbookViewId="0">
      <selection activeCell="B18" sqref="B18:Y24"/>
    </sheetView>
  </sheetViews>
  <sheetFormatPr baseColWidth="10" defaultRowHeight="15" x14ac:dyDescent="0.25"/>
  <cols>
    <col min="1" max="1" width="52.42578125" style="14" bestFit="1" customWidth="1"/>
    <col min="2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74</v>
      </c>
      <c r="Q11" s="1022"/>
      <c r="R11" s="6"/>
      <c r="S11" s="6"/>
      <c r="T11" s="1"/>
      <c r="U11" s="1"/>
      <c r="V11" s="1" t="s">
        <v>6</v>
      </c>
      <c r="W11" s="95">
        <v>45476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1"/>
      <c r="M14" s="1041"/>
      <c r="N14" s="1041"/>
      <c r="O14" s="1041"/>
      <c r="P14" s="1041"/>
      <c r="Q14" s="1041"/>
      <c r="R14" s="1041"/>
      <c r="S14" s="1041"/>
      <c r="T14" s="1041"/>
      <c r="U14" s="1041"/>
      <c r="V14" s="1041"/>
      <c r="W14" s="1041"/>
      <c r="X14" s="1041"/>
      <c r="Y14" s="1041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1025" t="s">
        <v>63</v>
      </c>
      <c r="M15" s="1026"/>
      <c r="N15" s="1026"/>
      <c r="O15" s="1026"/>
      <c r="P15" s="1030"/>
      <c r="Q15" s="1038" t="s">
        <v>8</v>
      </c>
      <c r="R15" s="1028"/>
      <c r="S15" s="1028"/>
      <c r="T15" s="1028"/>
      <c r="U15" s="1028"/>
      <c r="V15" s="1028"/>
      <c r="W15" s="1028"/>
      <c r="X15" s="1028"/>
      <c r="Y15" s="1028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60.9</v>
      </c>
      <c r="C19" s="282">
        <v>39</v>
      </c>
      <c r="D19" s="282">
        <v>39</v>
      </c>
      <c r="E19" s="282">
        <v>33.299999999999997</v>
      </c>
      <c r="F19" s="282">
        <v>22</v>
      </c>
      <c r="G19" s="338">
        <v>26.3</v>
      </c>
      <c r="H19" s="282">
        <v>46.9</v>
      </c>
      <c r="I19" s="282">
        <v>71.3</v>
      </c>
      <c r="J19" s="282">
        <v>58.8</v>
      </c>
      <c r="K19" s="283">
        <v>29.7</v>
      </c>
      <c r="L19" s="281">
        <v>29.4</v>
      </c>
      <c r="M19" s="282">
        <v>29.3</v>
      </c>
      <c r="N19" s="282">
        <v>42.5</v>
      </c>
      <c r="O19" s="282">
        <v>52.7</v>
      </c>
      <c r="P19" s="284">
        <v>52.6</v>
      </c>
      <c r="Q19" s="285">
        <v>51.7</v>
      </c>
      <c r="R19" s="282">
        <v>78.2</v>
      </c>
      <c r="S19" s="282">
        <v>37.9</v>
      </c>
      <c r="T19" s="282">
        <v>33.1</v>
      </c>
      <c r="U19" s="282">
        <v>26.3</v>
      </c>
      <c r="V19" s="282">
        <v>52.1</v>
      </c>
      <c r="W19" s="282">
        <v>51.2</v>
      </c>
      <c r="X19" s="283">
        <v>51.3</v>
      </c>
      <c r="Y19" s="284">
        <v>62.3</v>
      </c>
      <c r="Z19" s="98">
        <f t="shared" si="0"/>
        <v>1077.8000000000002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65.900000000000006</v>
      </c>
      <c r="C20" s="19">
        <v>42.2</v>
      </c>
      <c r="D20" s="19">
        <v>42.4</v>
      </c>
      <c r="E20" s="19">
        <v>36.1</v>
      </c>
      <c r="F20" s="19">
        <v>23.8</v>
      </c>
      <c r="G20" s="19">
        <v>28.7</v>
      </c>
      <c r="H20" s="19">
        <v>51.5</v>
      </c>
      <c r="I20" s="19">
        <v>77.900000000000006</v>
      </c>
      <c r="J20" s="19">
        <v>63.9</v>
      </c>
      <c r="K20" s="104">
        <v>32.200000000000003</v>
      </c>
      <c r="L20" s="18">
        <v>31.9</v>
      </c>
      <c r="M20" s="19">
        <v>31.7</v>
      </c>
      <c r="N20" s="19">
        <v>45.8</v>
      </c>
      <c r="O20" s="19">
        <v>57.3</v>
      </c>
      <c r="P20" s="20">
        <v>55.9</v>
      </c>
      <c r="Q20" s="61">
        <v>56</v>
      </c>
      <c r="R20" s="19">
        <v>83.4</v>
      </c>
      <c r="S20" s="19">
        <v>40.5</v>
      </c>
      <c r="T20" s="19">
        <v>35.200000000000003</v>
      </c>
      <c r="U20" s="19">
        <v>27.9</v>
      </c>
      <c r="V20" s="19">
        <v>56</v>
      </c>
      <c r="W20" s="19">
        <v>56.6</v>
      </c>
      <c r="X20" s="104">
        <v>56.1</v>
      </c>
      <c r="Y20" s="20">
        <v>68.599999999999994</v>
      </c>
      <c r="Z20" s="98">
        <f t="shared" si="0"/>
        <v>1167.4999999999995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65.900000000000006</v>
      </c>
      <c r="C21" s="19">
        <v>42.2</v>
      </c>
      <c r="D21" s="19">
        <v>42.4</v>
      </c>
      <c r="E21" s="19">
        <v>36.1</v>
      </c>
      <c r="F21" s="19">
        <v>23.8</v>
      </c>
      <c r="G21" s="19">
        <v>28.7</v>
      </c>
      <c r="H21" s="19">
        <v>51.5</v>
      </c>
      <c r="I21" s="19">
        <v>78</v>
      </c>
      <c r="J21" s="19">
        <v>63.9</v>
      </c>
      <c r="K21" s="104">
        <v>32.200000000000003</v>
      </c>
      <c r="L21" s="18">
        <v>32</v>
      </c>
      <c r="M21" s="19">
        <v>31.8</v>
      </c>
      <c r="N21" s="19">
        <v>45.8</v>
      </c>
      <c r="O21" s="19">
        <v>57.4</v>
      </c>
      <c r="P21" s="20">
        <v>56</v>
      </c>
      <c r="Q21" s="61">
        <v>56</v>
      </c>
      <c r="R21" s="19">
        <v>83.4</v>
      </c>
      <c r="S21" s="19">
        <v>40.5</v>
      </c>
      <c r="T21" s="19">
        <v>35.200000000000003</v>
      </c>
      <c r="U21" s="19">
        <v>27.9</v>
      </c>
      <c r="V21" s="19">
        <v>56</v>
      </c>
      <c r="W21" s="19">
        <v>56.6</v>
      </c>
      <c r="X21" s="104">
        <v>56.1</v>
      </c>
      <c r="Y21" s="20">
        <v>68.599999999999994</v>
      </c>
      <c r="Z21" s="98">
        <f t="shared" si="0"/>
        <v>1167.9999999999998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65.900000000000006</v>
      </c>
      <c r="C23" s="19">
        <v>42.2</v>
      </c>
      <c r="D23" s="19">
        <v>42.5</v>
      </c>
      <c r="E23" s="19">
        <v>36.1</v>
      </c>
      <c r="F23" s="19">
        <v>23.9</v>
      </c>
      <c r="G23" s="19">
        <v>28.7</v>
      </c>
      <c r="H23" s="19">
        <v>51.5</v>
      </c>
      <c r="I23" s="19">
        <v>78</v>
      </c>
      <c r="J23" s="19">
        <v>64</v>
      </c>
      <c r="K23" s="104">
        <v>32.200000000000003</v>
      </c>
      <c r="L23" s="18">
        <v>32</v>
      </c>
      <c r="M23" s="19">
        <v>31.8</v>
      </c>
      <c r="N23" s="19">
        <v>45.9</v>
      </c>
      <c r="O23" s="19">
        <v>57.4</v>
      </c>
      <c r="P23" s="20">
        <v>56</v>
      </c>
      <c r="Q23" s="61">
        <v>56.1</v>
      </c>
      <c r="R23" s="19">
        <v>83.5</v>
      </c>
      <c r="S23" s="19">
        <v>40.5</v>
      </c>
      <c r="T23" s="19">
        <v>35.200000000000003</v>
      </c>
      <c r="U23" s="19">
        <v>28</v>
      </c>
      <c r="V23" s="19">
        <v>56.1</v>
      </c>
      <c r="W23" s="19">
        <v>56.7</v>
      </c>
      <c r="X23" s="104">
        <v>56.2</v>
      </c>
      <c r="Y23" s="20">
        <v>68.7</v>
      </c>
      <c r="Z23" s="98">
        <f t="shared" si="0"/>
        <v>1169.1000000000001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66</v>
      </c>
      <c r="C24" s="227">
        <v>42.2</v>
      </c>
      <c r="D24" s="227">
        <v>42.5</v>
      </c>
      <c r="E24" s="227">
        <v>36.1</v>
      </c>
      <c r="F24" s="227">
        <v>23.9</v>
      </c>
      <c r="G24" s="227">
        <v>28.7</v>
      </c>
      <c r="H24" s="227">
        <v>51.6</v>
      </c>
      <c r="I24" s="227">
        <v>78</v>
      </c>
      <c r="J24" s="227">
        <v>64</v>
      </c>
      <c r="K24" s="325">
        <v>32.200000000000003</v>
      </c>
      <c r="L24" s="266">
        <v>32</v>
      </c>
      <c r="M24" s="267">
        <v>31.8</v>
      </c>
      <c r="N24" s="267">
        <v>45.9</v>
      </c>
      <c r="O24" s="267">
        <v>57.4</v>
      </c>
      <c r="P24" s="123">
        <v>56</v>
      </c>
      <c r="Q24" s="332">
        <v>56.1</v>
      </c>
      <c r="R24" s="227">
        <v>83.5</v>
      </c>
      <c r="S24" s="227">
        <v>40.5</v>
      </c>
      <c r="T24" s="227">
        <v>35.200000000000003</v>
      </c>
      <c r="U24" s="227">
        <v>28</v>
      </c>
      <c r="V24" s="227">
        <v>56.1</v>
      </c>
      <c r="W24" s="227">
        <v>56.7</v>
      </c>
      <c r="X24" s="325">
        <v>56.2</v>
      </c>
      <c r="Y24" s="228">
        <v>68.7</v>
      </c>
      <c r="Z24" s="330">
        <f t="shared" si="0"/>
        <v>1169.3000000000002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324.60000000000002</v>
      </c>
      <c r="C25" s="201">
        <f>SUM(C18:C24)</f>
        <v>207.8</v>
      </c>
      <c r="D25" s="201">
        <f t="shared" ref="D25:Y25" si="1">SUM(D18:D24)</f>
        <v>208.8</v>
      </c>
      <c r="E25" s="201">
        <f t="shared" si="1"/>
        <v>177.7</v>
      </c>
      <c r="F25" s="201">
        <f t="shared" si="1"/>
        <v>117.4</v>
      </c>
      <c r="G25" s="201">
        <f t="shared" si="1"/>
        <v>141.1</v>
      </c>
      <c r="H25" s="201">
        <f t="shared" si="1"/>
        <v>253</v>
      </c>
      <c r="I25" s="201">
        <f t="shared" si="1"/>
        <v>383.2</v>
      </c>
      <c r="J25" s="201">
        <f t="shared" si="1"/>
        <v>314.60000000000002</v>
      </c>
      <c r="K25" s="229">
        <f t="shared" si="1"/>
        <v>158.5</v>
      </c>
      <c r="L25" s="122">
        <f t="shared" si="1"/>
        <v>157.30000000000001</v>
      </c>
      <c r="M25" s="120">
        <f t="shared" si="1"/>
        <v>156.4</v>
      </c>
      <c r="N25" s="120">
        <f t="shared" si="1"/>
        <v>225.9</v>
      </c>
      <c r="O25" s="120">
        <f t="shared" si="1"/>
        <v>282.2</v>
      </c>
      <c r="P25" s="121">
        <f t="shared" si="1"/>
        <v>276.5</v>
      </c>
      <c r="Q25" s="119">
        <f t="shared" si="1"/>
        <v>275.89999999999998</v>
      </c>
      <c r="R25" s="120">
        <f t="shared" si="1"/>
        <v>412</v>
      </c>
      <c r="S25" s="120">
        <f t="shared" si="1"/>
        <v>199.9</v>
      </c>
      <c r="T25" s="120">
        <f t="shared" si="1"/>
        <v>173.90000000000003</v>
      </c>
      <c r="U25" s="120">
        <f t="shared" si="1"/>
        <v>138.1</v>
      </c>
      <c r="V25" s="120">
        <f t="shared" si="1"/>
        <v>276.3</v>
      </c>
      <c r="W25" s="120">
        <f t="shared" si="1"/>
        <v>277.8</v>
      </c>
      <c r="X25" s="268">
        <f t="shared" si="1"/>
        <v>275.89999999999998</v>
      </c>
      <c r="Y25" s="121">
        <f t="shared" si="1"/>
        <v>336.9</v>
      </c>
      <c r="Z25" s="326">
        <f>SUM(Z18:Z24)</f>
        <v>5751.7</v>
      </c>
      <c r="AB25" s="42"/>
    </row>
    <row r="26" spans="1:37" s="2" customFormat="1" ht="36.75" customHeight="1" x14ac:dyDescent="0.25">
      <c r="A26" s="148" t="s">
        <v>11</v>
      </c>
      <c r="B26" s="23">
        <v>69</v>
      </c>
      <c r="C26" s="24">
        <v>70</v>
      </c>
      <c r="D26" s="24">
        <v>70.5</v>
      </c>
      <c r="E26" s="24">
        <v>71.5</v>
      </c>
      <c r="F26" s="24">
        <v>72</v>
      </c>
      <c r="G26" s="24">
        <v>72</v>
      </c>
      <c r="H26" s="24">
        <v>71</v>
      </c>
      <c r="I26" s="24">
        <v>70</v>
      </c>
      <c r="J26" s="24">
        <v>68</v>
      </c>
      <c r="K26" s="155">
        <v>67</v>
      </c>
      <c r="L26" s="23">
        <v>70</v>
      </c>
      <c r="M26" s="24">
        <v>66.5</v>
      </c>
      <c r="N26" s="24">
        <v>66</v>
      </c>
      <c r="O26" s="24">
        <v>63</v>
      </c>
      <c r="P26" s="25">
        <v>66.5</v>
      </c>
      <c r="Q26" s="63">
        <v>70</v>
      </c>
      <c r="R26" s="24">
        <v>71</v>
      </c>
      <c r="S26" s="24">
        <v>74</v>
      </c>
      <c r="T26" s="24">
        <v>75.5</v>
      </c>
      <c r="U26" s="24">
        <v>72</v>
      </c>
      <c r="V26" s="24">
        <v>71</v>
      </c>
      <c r="W26" s="24">
        <v>70.5</v>
      </c>
      <c r="X26" s="155">
        <v>70</v>
      </c>
      <c r="Y26" s="25">
        <v>67.5</v>
      </c>
      <c r="Z26" s="327">
        <f>((Z25/Z27)/7)*1000</f>
        <v>69.438978160350587</v>
      </c>
    </row>
    <row r="27" spans="1:37" s="2" customFormat="1" ht="33" customHeight="1" x14ac:dyDescent="0.25">
      <c r="A27" s="149" t="s">
        <v>12</v>
      </c>
      <c r="B27" s="26">
        <v>672</v>
      </c>
      <c r="C27" s="27">
        <v>424</v>
      </c>
      <c r="D27" s="27">
        <v>423</v>
      </c>
      <c r="E27" s="27">
        <v>355</v>
      </c>
      <c r="F27" s="27">
        <v>233</v>
      </c>
      <c r="G27" s="27">
        <v>280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329</v>
      </c>
      <c r="U27" s="27">
        <v>274</v>
      </c>
      <c r="V27" s="27">
        <v>556</v>
      </c>
      <c r="W27" s="27">
        <v>563</v>
      </c>
      <c r="X27" s="156">
        <v>563</v>
      </c>
      <c r="Y27" s="28">
        <v>713</v>
      </c>
      <c r="Z27" s="328">
        <f>SUM(B27:Y27)</f>
        <v>11833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65.919000000000011</v>
      </c>
      <c r="C28" s="30">
        <f t="shared" ref="C28:Y28" si="2">((((C26*7)*C27)/1000)-(C18+C19))/4</f>
        <v>42.19</v>
      </c>
      <c r="D28" s="30">
        <f t="shared" si="2"/>
        <v>42.437624999999997</v>
      </c>
      <c r="E28" s="30">
        <f t="shared" si="2"/>
        <v>36.094374999999999</v>
      </c>
      <c r="F28" s="30">
        <f t="shared" si="2"/>
        <v>23.858000000000001</v>
      </c>
      <c r="G28" s="30">
        <f t="shared" si="2"/>
        <v>28.705000000000002</v>
      </c>
      <c r="H28" s="30">
        <f t="shared" si="2"/>
        <v>51.518250000000002</v>
      </c>
      <c r="I28" s="30">
        <f t="shared" si="2"/>
        <v>77.97</v>
      </c>
      <c r="J28" s="30">
        <f t="shared" si="2"/>
        <v>63.959000000000003</v>
      </c>
      <c r="K28" s="30">
        <f t="shared" si="2"/>
        <v>32.205500000000001</v>
      </c>
      <c r="L28" s="30">
        <f t="shared" si="2"/>
        <v>31.972499999999997</v>
      </c>
      <c r="M28" s="30">
        <f t="shared" si="2"/>
        <v>31.776999999999997</v>
      </c>
      <c r="N28" s="30">
        <f t="shared" si="2"/>
        <v>45.854500000000002</v>
      </c>
      <c r="O28" s="30">
        <f t="shared" si="2"/>
        <v>57.385000000000005</v>
      </c>
      <c r="P28" s="30">
        <f t="shared" si="2"/>
        <v>55.976750000000003</v>
      </c>
      <c r="Q28" s="30">
        <f t="shared" si="2"/>
        <v>56.042500000000004</v>
      </c>
      <c r="R28" s="30">
        <f t="shared" si="2"/>
        <v>83.453249999999997</v>
      </c>
      <c r="S28" s="30">
        <f t="shared" si="2"/>
        <v>40.512</v>
      </c>
      <c r="T28" s="30">
        <f t="shared" si="2"/>
        <v>35.194125</v>
      </c>
      <c r="U28" s="30">
        <f t="shared" si="2"/>
        <v>27.949000000000002</v>
      </c>
      <c r="V28" s="30">
        <f t="shared" si="2"/>
        <v>56.058</v>
      </c>
      <c r="W28" s="30">
        <f t="shared" si="2"/>
        <v>56.660125000000008</v>
      </c>
      <c r="X28" s="30">
        <f t="shared" si="2"/>
        <v>56.142499999999998</v>
      </c>
      <c r="Y28" s="30">
        <f t="shared" si="2"/>
        <v>68.648124999999993</v>
      </c>
      <c r="Z28" s="329">
        <f>((Z25*1000)/7)/Z27</f>
        <v>69.438978160350587</v>
      </c>
      <c r="AB28" s="43"/>
    </row>
    <row r="29" spans="1:37" ht="33.75" customHeight="1" x14ac:dyDescent="0.25">
      <c r="A29" s="151" t="s">
        <v>14</v>
      </c>
      <c r="B29" s="281">
        <f>((B27*B26)*7)/1000</f>
        <v>324.57600000000002</v>
      </c>
      <c r="C29" s="282">
        <f>((C27*C26)*7)/1000</f>
        <v>207.76</v>
      </c>
      <c r="D29" s="282">
        <f t="shared" ref="D29:Y29" si="3">((D27*D26)*7)/1000</f>
        <v>208.75049999999999</v>
      </c>
      <c r="E29" s="282">
        <f t="shared" si="3"/>
        <v>177.67750000000001</v>
      </c>
      <c r="F29" s="282">
        <f t="shared" si="3"/>
        <v>117.432</v>
      </c>
      <c r="G29" s="282">
        <f t="shared" si="3"/>
        <v>141.12</v>
      </c>
      <c r="H29" s="282">
        <f t="shared" si="3"/>
        <v>252.97300000000001</v>
      </c>
      <c r="I29" s="282">
        <f t="shared" si="3"/>
        <v>383.18</v>
      </c>
      <c r="J29" s="282">
        <f t="shared" si="3"/>
        <v>314.63600000000002</v>
      </c>
      <c r="K29" s="283">
        <f t="shared" si="3"/>
        <v>158.52199999999999</v>
      </c>
      <c r="L29" s="281">
        <f t="shared" si="3"/>
        <v>157.29</v>
      </c>
      <c r="M29" s="282">
        <f t="shared" si="3"/>
        <v>156.40799999999999</v>
      </c>
      <c r="N29" s="282">
        <f t="shared" si="3"/>
        <v>225.91800000000001</v>
      </c>
      <c r="O29" s="282">
        <f t="shared" si="3"/>
        <v>282.24</v>
      </c>
      <c r="P29" s="284">
        <f t="shared" si="3"/>
        <v>276.50700000000001</v>
      </c>
      <c r="Q29" s="285">
        <f t="shared" si="3"/>
        <v>275.87</v>
      </c>
      <c r="R29" s="282">
        <f t="shared" si="3"/>
        <v>412.01299999999998</v>
      </c>
      <c r="S29" s="282">
        <f t="shared" si="3"/>
        <v>199.94800000000001</v>
      </c>
      <c r="T29" s="282">
        <f t="shared" si="3"/>
        <v>173.87649999999999</v>
      </c>
      <c r="U29" s="282">
        <f t="shared" si="3"/>
        <v>138.096</v>
      </c>
      <c r="V29" s="282">
        <f t="shared" si="3"/>
        <v>276.33199999999999</v>
      </c>
      <c r="W29" s="282">
        <f t="shared" si="3"/>
        <v>277.84050000000002</v>
      </c>
      <c r="X29" s="283">
        <f t="shared" si="3"/>
        <v>275.87</v>
      </c>
      <c r="Y29" s="284">
        <f t="shared" si="3"/>
        <v>336.89249999999998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69.00510204081634</v>
      </c>
      <c r="C30" s="38">
        <f t="shared" ref="C30:Y30" si="4">+(C25/C27)/7*1000</f>
        <v>70.013477088948804</v>
      </c>
      <c r="D30" s="38">
        <f t="shared" si="4"/>
        <v>70.516717325227972</v>
      </c>
      <c r="E30" s="38">
        <f t="shared" si="4"/>
        <v>71.509054325955731</v>
      </c>
      <c r="F30" s="38">
        <f t="shared" si="4"/>
        <v>71.980380134886587</v>
      </c>
      <c r="G30" s="38">
        <f t="shared" si="4"/>
        <v>71.989795918367335</v>
      </c>
      <c r="H30" s="38">
        <f t="shared" si="4"/>
        <v>71.00757788380578</v>
      </c>
      <c r="I30" s="38">
        <f t="shared" si="4"/>
        <v>70.003653635367186</v>
      </c>
      <c r="J30" s="38">
        <f t="shared" si="4"/>
        <v>67.992219580721851</v>
      </c>
      <c r="K30" s="158">
        <f t="shared" si="4"/>
        <v>66.990701606086219</v>
      </c>
      <c r="L30" s="37">
        <f t="shared" si="4"/>
        <v>70.004450378282158</v>
      </c>
      <c r="M30" s="38">
        <f t="shared" si="4"/>
        <v>66.496598639455783</v>
      </c>
      <c r="N30" s="38">
        <f t="shared" si="4"/>
        <v>65.994741454864155</v>
      </c>
      <c r="O30" s="38">
        <f t="shared" si="4"/>
        <v>62.991071428571423</v>
      </c>
      <c r="P30" s="39">
        <f t="shared" si="4"/>
        <v>66.498316498316498</v>
      </c>
      <c r="Q30" s="67">
        <f t="shared" si="4"/>
        <v>70.007612281146905</v>
      </c>
      <c r="R30" s="38">
        <f t="shared" si="4"/>
        <v>70.997759779424442</v>
      </c>
      <c r="S30" s="38">
        <f t="shared" si="4"/>
        <v>73.982235381199104</v>
      </c>
      <c r="T30" s="38">
        <f t="shared" si="4"/>
        <v>75.510204081632665</v>
      </c>
      <c r="U30" s="38">
        <f t="shared" si="4"/>
        <v>72.002085505735138</v>
      </c>
      <c r="V30" s="38">
        <f t="shared" si="4"/>
        <v>70.991778006166498</v>
      </c>
      <c r="W30" s="38">
        <f t="shared" si="4"/>
        <v>70.489723420451668</v>
      </c>
      <c r="X30" s="158">
        <f t="shared" si="4"/>
        <v>70.007612281146905</v>
      </c>
      <c r="Y30" s="39">
        <f t="shared" si="4"/>
        <v>67.501502704868756</v>
      </c>
      <c r="Z30" s="237"/>
      <c r="AB30" s="42"/>
    </row>
    <row r="31" spans="1:37" ht="33.75" customHeight="1" x14ac:dyDescent="0.25">
      <c r="A31" s="41"/>
      <c r="B31" s="42">
        <f>B29-B25</f>
        <v>-2.4000000000000909E-2</v>
      </c>
      <c r="C31" s="42">
        <f t="shared" ref="C31:Y32" si="5">C29-C25</f>
        <v>-4.0000000000020464E-2</v>
      </c>
      <c r="D31" s="42">
        <f t="shared" si="5"/>
        <v>-4.9500000000023192E-2</v>
      </c>
      <c r="E31" s="42">
        <f t="shared" si="5"/>
        <v>-2.2499999999979536E-2</v>
      </c>
      <c r="F31" s="42">
        <f t="shared" si="5"/>
        <v>3.1999999999996476E-2</v>
      </c>
      <c r="G31" s="42">
        <f t="shared" si="5"/>
        <v>2.0000000000010232E-2</v>
      </c>
      <c r="H31" s="42">
        <f t="shared" si="5"/>
        <v>-2.6999999999986812E-2</v>
      </c>
      <c r="I31" s="42">
        <f t="shared" si="5"/>
        <v>-1.999999999998181E-2</v>
      </c>
      <c r="J31" s="42">
        <f t="shared" si="5"/>
        <v>3.6000000000001364E-2</v>
      </c>
      <c r="K31" s="42">
        <f t="shared" si="5"/>
        <v>2.199999999999136E-2</v>
      </c>
      <c r="L31" s="42">
        <f t="shared" si="5"/>
        <v>-1.0000000000019327E-2</v>
      </c>
      <c r="M31" s="42">
        <f t="shared" si="5"/>
        <v>7.9999999999813554E-3</v>
      </c>
      <c r="N31" s="42">
        <f t="shared" si="5"/>
        <v>1.8000000000000682E-2</v>
      </c>
      <c r="O31" s="42">
        <f t="shared" si="5"/>
        <v>4.0000000000020464E-2</v>
      </c>
      <c r="P31" s="42">
        <f t="shared" si="5"/>
        <v>7.0000000000050022E-3</v>
      </c>
      <c r="Q31" s="42">
        <f t="shared" si="5"/>
        <v>-2.9999999999972715E-2</v>
      </c>
      <c r="R31" s="42">
        <f t="shared" si="5"/>
        <v>1.2999999999976808E-2</v>
      </c>
      <c r="S31" s="42">
        <f t="shared" si="5"/>
        <v>4.8000000000001819E-2</v>
      </c>
      <c r="T31" s="42">
        <f t="shared" si="5"/>
        <v>-2.3500000000041155E-2</v>
      </c>
      <c r="U31" s="42">
        <f t="shared" si="5"/>
        <v>-3.9999999999906777E-3</v>
      </c>
      <c r="V31" s="42">
        <f t="shared" si="5"/>
        <v>3.1999999999982265E-2</v>
      </c>
      <c r="W31" s="42">
        <f t="shared" si="5"/>
        <v>4.050000000000864E-2</v>
      </c>
      <c r="X31" s="42">
        <f t="shared" si="5"/>
        <v>-2.9999999999972715E-2</v>
      </c>
      <c r="Y31" s="42">
        <f t="shared" si="5"/>
        <v>-7.4999999999931788E-3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5.1020408163395814E-3</v>
      </c>
      <c r="C32" s="42">
        <f t="shared" si="5"/>
        <v>1.3477088948803839E-2</v>
      </c>
      <c r="D32" s="42">
        <f t="shared" si="5"/>
        <v>1.6717325227972424E-2</v>
      </c>
      <c r="E32" s="42">
        <f t="shared" si="5"/>
        <v>9.0543259557307465E-3</v>
      </c>
      <c r="F32" s="42">
        <f t="shared" si="5"/>
        <v>-1.9619865113412516E-2</v>
      </c>
      <c r="G32" s="42">
        <f t="shared" si="5"/>
        <v>-1.0204081632664952E-2</v>
      </c>
      <c r="H32" s="42">
        <f t="shared" si="5"/>
        <v>7.5778838057800613E-3</v>
      </c>
      <c r="I32" s="42">
        <f t="shared" si="5"/>
        <v>3.6536353671863253E-3</v>
      </c>
      <c r="J32" s="42">
        <f t="shared" si="5"/>
        <v>-7.7804192781485426E-3</v>
      </c>
      <c r="K32" s="42">
        <f t="shared" si="5"/>
        <v>-9.2983939137809557E-3</v>
      </c>
      <c r="L32" s="42">
        <f t="shared" si="5"/>
        <v>4.4503782821578852E-3</v>
      </c>
      <c r="M32" s="42">
        <f t="shared" si="5"/>
        <v>-3.4013605442169137E-3</v>
      </c>
      <c r="N32" s="42">
        <f t="shared" si="5"/>
        <v>-5.2585451358453383E-3</v>
      </c>
      <c r="O32" s="42">
        <f t="shared" si="5"/>
        <v>-8.9285714285765039E-3</v>
      </c>
      <c r="P32" s="42">
        <f t="shared" si="5"/>
        <v>-1.6835016835017313E-3</v>
      </c>
      <c r="Q32" s="42">
        <f>Q30-Q26</f>
        <v>7.6122811469048202E-3</v>
      </c>
      <c r="R32" s="42">
        <f t="shared" si="5"/>
        <v>-2.2402205755582827E-3</v>
      </c>
      <c r="S32" s="42">
        <f t="shared" si="5"/>
        <v>-1.7764618800896415E-2</v>
      </c>
      <c r="T32" s="42">
        <f t="shared" si="5"/>
        <v>1.0204081632664952E-2</v>
      </c>
      <c r="U32" s="42">
        <f t="shared" si="5"/>
        <v>2.0855057351383266E-3</v>
      </c>
      <c r="V32" s="42">
        <f t="shared" si="5"/>
        <v>-8.2219938335015286E-3</v>
      </c>
      <c r="W32" s="42">
        <f t="shared" si="5"/>
        <v>-1.0276579548332165E-2</v>
      </c>
      <c r="X32" s="42">
        <f t="shared" si="5"/>
        <v>7.6122811469048202E-3</v>
      </c>
      <c r="Y32" s="42">
        <f t="shared" si="5"/>
        <v>1.5027048687556999E-3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5" t="s">
        <v>8</v>
      </c>
      <c r="C35" s="1036"/>
      <c r="D35" s="1036"/>
      <c r="E35" s="1036"/>
      <c r="F35" s="1036"/>
      <c r="G35" s="1036"/>
      <c r="H35" s="1036"/>
      <c r="I35" s="1036"/>
      <c r="J35" s="1037"/>
      <c r="K35" s="244"/>
      <c r="L35" s="42"/>
      <c r="M35" s="42"/>
      <c r="N35" s="42"/>
      <c r="O35" s="44"/>
      <c r="P35" s="88" t="s">
        <v>18</v>
      </c>
      <c r="Q35" s="1031" t="s">
        <v>8</v>
      </c>
      <c r="R35" s="1032"/>
      <c r="S35" s="1032"/>
      <c r="T35" s="1032"/>
      <c r="U35" s="1033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38.6</v>
      </c>
      <c r="C39" s="282">
        <v>54.6</v>
      </c>
      <c r="D39" s="282">
        <v>42.7</v>
      </c>
      <c r="E39" s="282">
        <v>30.9</v>
      </c>
      <c r="F39" s="282">
        <v>25.2</v>
      </c>
      <c r="G39" s="282">
        <v>39.5</v>
      </c>
      <c r="H39" s="282">
        <v>75.8</v>
      </c>
      <c r="I39" s="284">
        <v>45.1</v>
      </c>
      <c r="J39" s="98">
        <f t="shared" si="6"/>
        <v>352.40000000000003</v>
      </c>
      <c r="K39" s="309"/>
      <c r="L39" s="42"/>
      <c r="M39" s="42"/>
      <c r="N39" s="42"/>
      <c r="O39" s="2"/>
      <c r="P39" s="146" t="s">
        <v>24</v>
      </c>
      <c r="Q39" s="18">
        <v>14.2</v>
      </c>
      <c r="R39" s="19">
        <v>20.7</v>
      </c>
      <c r="S39" s="19">
        <v>14.5</v>
      </c>
      <c r="T39" s="233">
        <v>4.0999999999999996</v>
      </c>
      <c r="U39" s="264">
        <f t="shared" ref="U39:U44" si="7">SUM(Q39:T39)</f>
        <v>53.5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39.799999999999997</v>
      </c>
      <c r="C40" s="19">
        <v>56.2</v>
      </c>
      <c r="D40" s="19">
        <v>44.1</v>
      </c>
      <c r="E40" s="19">
        <v>31.8</v>
      </c>
      <c r="F40" s="19">
        <v>26.1</v>
      </c>
      <c r="G40" s="19">
        <v>40.9</v>
      </c>
      <c r="H40" s="19">
        <v>79.3</v>
      </c>
      <c r="I40" s="20">
        <v>47.7</v>
      </c>
      <c r="J40" s="98">
        <f t="shared" si="6"/>
        <v>365.9</v>
      </c>
      <c r="K40" s="49"/>
      <c r="L40" s="196"/>
      <c r="M40" s="196"/>
      <c r="N40" s="196"/>
      <c r="O40" s="2"/>
      <c r="P40" s="146" t="s">
        <v>20</v>
      </c>
      <c r="Q40" s="18">
        <v>14.6</v>
      </c>
      <c r="R40" s="19">
        <v>21.2</v>
      </c>
      <c r="S40" s="19">
        <v>14.8</v>
      </c>
      <c r="T40" s="233">
        <v>3.9</v>
      </c>
      <c r="U40" s="264">
        <f t="shared" si="7"/>
        <v>54.499999999999993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39.799999999999997</v>
      </c>
      <c r="C41" s="19">
        <v>56.3</v>
      </c>
      <c r="D41" s="19">
        <v>44.1</v>
      </c>
      <c r="E41" s="19">
        <v>31.8</v>
      </c>
      <c r="F41" s="19">
        <v>26.2</v>
      </c>
      <c r="G41" s="19">
        <v>40.9</v>
      </c>
      <c r="H41" s="19">
        <v>79.3</v>
      </c>
      <c r="I41" s="20">
        <v>47.7</v>
      </c>
      <c r="J41" s="98">
        <f t="shared" si="6"/>
        <v>366.09999999999997</v>
      </c>
      <c r="K41" s="49"/>
      <c r="L41" s="2"/>
      <c r="M41" s="2"/>
      <c r="N41" s="2"/>
      <c r="O41" s="2"/>
      <c r="P41" s="146" t="s">
        <v>28</v>
      </c>
      <c r="Q41" s="18">
        <v>14.6</v>
      </c>
      <c r="R41" s="19">
        <v>21.2</v>
      </c>
      <c r="S41" s="19">
        <v>14.9</v>
      </c>
      <c r="T41" s="233">
        <v>4</v>
      </c>
      <c r="U41" s="264">
        <f t="shared" si="7"/>
        <v>54.699999999999996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39.799999999999997</v>
      </c>
      <c r="C43" s="19">
        <v>56.3</v>
      </c>
      <c r="D43" s="19">
        <v>44.1</v>
      </c>
      <c r="E43" s="19">
        <v>31.9</v>
      </c>
      <c r="F43" s="19">
        <v>26.2</v>
      </c>
      <c r="G43" s="19">
        <v>40.9</v>
      </c>
      <c r="H43" s="19">
        <v>79.3</v>
      </c>
      <c r="I43" s="20">
        <v>47.8</v>
      </c>
      <c r="J43" s="98">
        <f t="shared" si="6"/>
        <v>366.3</v>
      </c>
      <c r="K43" s="49"/>
      <c r="L43" s="43"/>
      <c r="M43" s="43"/>
      <c r="N43" s="43"/>
      <c r="O43" s="2"/>
      <c r="P43" s="146" t="s">
        <v>22</v>
      </c>
      <c r="Q43" s="18">
        <v>14.6</v>
      </c>
      <c r="R43" s="19">
        <v>21.3</v>
      </c>
      <c r="S43" s="19">
        <v>14.9</v>
      </c>
      <c r="T43" s="233">
        <v>4</v>
      </c>
      <c r="U43" s="264">
        <f t="shared" si="7"/>
        <v>54.8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39.799999999999997</v>
      </c>
      <c r="C44" s="227">
        <v>56.3</v>
      </c>
      <c r="D44" s="227">
        <v>44.2</v>
      </c>
      <c r="E44" s="227">
        <v>31.9</v>
      </c>
      <c r="F44" s="227">
        <v>26.2</v>
      </c>
      <c r="G44" s="227">
        <v>41</v>
      </c>
      <c r="H44" s="227">
        <v>79.3</v>
      </c>
      <c r="I44" s="228">
        <v>47.8</v>
      </c>
      <c r="J44" s="272">
        <f t="shared" si="6"/>
        <v>366.5</v>
      </c>
      <c r="K44" s="49"/>
      <c r="L44" s="41"/>
      <c r="M44" s="41"/>
      <c r="N44" s="41"/>
      <c r="O44" s="2"/>
      <c r="P44" s="146" t="s">
        <v>23</v>
      </c>
      <c r="Q44" s="226">
        <v>14.7</v>
      </c>
      <c r="R44" s="227">
        <v>21.3</v>
      </c>
      <c r="S44" s="227">
        <v>14.9</v>
      </c>
      <c r="T44" s="311">
        <v>4</v>
      </c>
      <c r="U44" s="265">
        <f t="shared" si="7"/>
        <v>54.9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197.8</v>
      </c>
      <c r="C45" s="201">
        <f t="shared" si="8"/>
        <v>279.70000000000005</v>
      </c>
      <c r="D45" s="201">
        <f t="shared" si="8"/>
        <v>219.2</v>
      </c>
      <c r="E45" s="201">
        <f t="shared" si="8"/>
        <v>158.30000000000001</v>
      </c>
      <c r="F45" s="201">
        <f t="shared" si="8"/>
        <v>129.9</v>
      </c>
      <c r="G45" s="201">
        <f t="shared" si="8"/>
        <v>203.20000000000002</v>
      </c>
      <c r="H45" s="201">
        <f t="shared" si="8"/>
        <v>393</v>
      </c>
      <c r="I45" s="273">
        <f t="shared" si="8"/>
        <v>236.10000000000002</v>
      </c>
      <c r="J45" s="252">
        <f t="shared" si="6"/>
        <v>1817.1999999999998</v>
      </c>
      <c r="K45" s="49"/>
      <c r="L45" s="42"/>
      <c r="M45" s="42"/>
      <c r="N45" s="42"/>
      <c r="P45" s="80" t="s">
        <v>9</v>
      </c>
      <c r="Q45" s="200">
        <f>SUM(Q38:Q44)</f>
        <v>72.7</v>
      </c>
      <c r="R45" s="201">
        <f>SUM(R38:R44)</f>
        <v>105.69999999999999</v>
      </c>
      <c r="S45" s="201">
        <f>SUM(S38:S44)</f>
        <v>74</v>
      </c>
      <c r="T45" s="201">
        <f>SUM(T38:T44)</f>
        <v>20</v>
      </c>
      <c r="U45" s="313">
        <f>SUM(Q45:T45)</f>
        <v>272.39999999999998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73</v>
      </c>
      <c r="C46" s="24">
        <v>74</v>
      </c>
      <c r="D46" s="24">
        <v>76</v>
      </c>
      <c r="E46" s="24">
        <v>78.5</v>
      </c>
      <c r="F46" s="24">
        <v>77</v>
      </c>
      <c r="G46" s="24">
        <v>75</v>
      </c>
      <c r="H46" s="24">
        <v>73</v>
      </c>
      <c r="I46" s="25">
        <v>71</v>
      </c>
      <c r="J46" s="234">
        <f>+((J45/J47)/7)*1000</f>
        <v>74.19262646470419</v>
      </c>
      <c r="K46" s="50"/>
      <c r="L46" s="49"/>
      <c r="M46" s="49"/>
      <c r="N46" s="49"/>
      <c r="P46" s="93" t="s">
        <v>11</v>
      </c>
      <c r="Q46" s="63">
        <v>80.5</v>
      </c>
      <c r="R46" s="24">
        <v>79.5</v>
      </c>
      <c r="S46" s="24">
        <v>79.5</v>
      </c>
      <c r="T46" s="24">
        <v>79.5</v>
      </c>
      <c r="U46" s="234">
        <f>+((U45/U47)/7)*1000</f>
        <v>79.742388758782184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387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769</v>
      </c>
      <c r="I47" s="28">
        <v>475</v>
      </c>
      <c r="J47" s="256">
        <f>SUM(B47:I47)</f>
        <v>3499</v>
      </c>
      <c r="K47" s="191"/>
      <c r="L47" s="49"/>
      <c r="M47" s="49"/>
      <c r="N47" s="49"/>
      <c r="O47" s="51"/>
      <c r="P47" s="71" t="s">
        <v>12</v>
      </c>
      <c r="Q47" s="79">
        <v>129</v>
      </c>
      <c r="R47" s="79">
        <v>190</v>
      </c>
      <c r="S47" s="79">
        <v>133</v>
      </c>
      <c r="T47" s="79">
        <v>36</v>
      </c>
      <c r="U47" s="235">
        <f>SUM(Q47:T47)</f>
        <v>488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39.789250000000003</v>
      </c>
      <c r="C48" s="30">
        <f t="shared" ref="C48:I48" si="9">((((C46*7)*C47)/1000)-(C38+C39))/4</f>
        <v>56.280000000000008</v>
      </c>
      <c r="D48" s="30">
        <f t="shared" si="9"/>
        <v>44.120999999999995</v>
      </c>
      <c r="E48" s="30">
        <f t="shared" si="9"/>
        <v>31.838999999999999</v>
      </c>
      <c r="F48" s="30">
        <f t="shared" si="9"/>
        <v>26.17475</v>
      </c>
      <c r="G48" s="30">
        <f t="shared" si="9"/>
        <v>40.918750000000003</v>
      </c>
      <c r="H48" s="30">
        <f t="shared" si="9"/>
        <v>79.289749999999998</v>
      </c>
      <c r="I48" s="30">
        <f t="shared" si="9"/>
        <v>47.743749999999999</v>
      </c>
      <c r="J48" s="257">
        <f>((J45*1000)/J47)/7</f>
        <v>74.19262646470419</v>
      </c>
      <c r="K48" s="192"/>
      <c r="L48" s="49"/>
      <c r="M48" s="49"/>
      <c r="N48" s="49"/>
      <c r="P48" s="72" t="s">
        <v>13</v>
      </c>
      <c r="Q48" s="65">
        <f>((((Q46*7)*Q47)/1000)-(Q38+Q39))/4</f>
        <v>14.622875000000001</v>
      </c>
      <c r="R48" s="65">
        <f>((((R46*7)*R47)/1000)-(R38+R39))/4</f>
        <v>21.258749999999999</v>
      </c>
      <c r="S48" s="65">
        <f>((((S46*7)*S47)/1000)-(S38+S39))/4</f>
        <v>14.878625</v>
      </c>
      <c r="T48" s="65">
        <f>((((T46*7)*T47)/1000)-(T38+T39))/4</f>
        <v>3.9834999999999998</v>
      </c>
      <c r="U48" s="253">
        <f>((U45*1000)/U47)/7</f>
        <v>79.742388758782198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197.75700000000001</v>
      </c>
      <c r="C49" s="282">
        <f t="shared" si="10"/>
        <v>279.72000000000003</v>
      </c>
      <c r="D49" s="282">
        <f t="shared" si="10"/>
        <v>219.184</v>
      </c>
      <c r="E49" s="282">
        <f t="shared" si="10"/>
        <v>158.256</v>
      </c>
      <c r="F49" s="282">
        <f t="shared" si="10"/>
        <v>129.899</v>
      </c>
      <c r="G49" s="282">
        <f t="shared" si="10"/>
        <v>203.17500000000001</v>
      </c>
      <c r="H49" s="282">
        <f t="shared" si="10"/>
        <v>392.959</v>
      </c>
      <c r="I49" s="284">
        <f t="shared" si="10"/>
        <v>236.07499999999999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72.691500000000005</v>
      </c>
      <c r="R49" s="282">
        <f>((R47*R46)*7)/1000</f>
        <v>105.735</v>
      </c>
      <c r="S49" s="282">
        <f>((S47*S46)*7)/1000</f>
        <v>74.014499999999998</v>
      </c>
      <c r="T49" s="282">
        <f>((T47*T46)*7)/1000</f>
        <v>20.033999999999999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73.015873015873026</v>
      </c>
      <c r="C50" s="38">
        <f t="shared" si="11"/>
        <v>73.994708994709015</v>
      </c>
      <c r="D50" s="38">
        <f t="shared" si="11"/>
        <v>76.005547850208046</v>
      </c>
      <c r="E50" s="38">
        <f t="shared" si="11"/>
        <v>78.521825396825392</v>
      </c>
      <c r="F50" s="38">
        <f t="shared" si="11"/>
        <v>77.000592768227619</v>
      </c>
      <c r="G50" s="38">
        <f t="shared" si="11"/>
        <v>75.009228497600603</v>
      </c>
      <c r="H50" s="38">
        <f t="shared" si="11"/>
        <v>73.007616570685485</v>
      </c>
      <c r="I50" s="39">
        <f t="shared" si="11"/>
        <v>71.007518796992485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80.509413067552615</v>
      </c>
      <c r="R50" s="38">
        <f>+(R45/R47)/7*1000</f>
        <v>79.473684210526287</v>
      </c>
      <c r="S50" s="38">
        <f>+(S45/S47)/7*1000</f>
        <v>79.48442534908699</v>
      </c>
      <c r="T50" s="38">
        <f>+(T45/T47)/7*1000</f>
        <v>79.365079365079382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-4.3000000000006366E-2</v>
      </c>
      <c r="C51" s="42">
        <f t="shared" ref="C51:I52" si="12">C49-C45</f>
        <v>1.999999999998181E-2</v>
      </c>
      <c r="D51" s="42">
        <f t="shared" si="12"/>
        <v>-1.5999999999991132E-2</v>
      </c>
      <c r="E51" s="42">
        <f t="shared" si="12"/>
        <v>-4.4000000000011141E-2</v>
      </c>
      <c r="F51" s="42">
        <f t="shared" si="12"/>
        <v>-1.0000000000047748E-3</v>
      </c>
      <c r="G51" s="42">
        <f t="shared" si="12"/>
        <v>-2.5000000000005684E-2</v>
      </c>
      <c r="H51" s="42">
        <f t="shared" si="12"/>
        <v>-4.0999999999996817E-2</v>
      </c>
      <c r="I51" s="42">
        <f t="shared" si="12"/>
        <v>-2.5000000000034106E-2</v>
      </c>
      <c r="J51" s="41"/>
      <c r="K51" s="41"/>
      <c r="L51" s="41"/>
      <c r="M51" s="41"/>
      <c r="N51" s="41"/>
      <c r="O51" s="41"/>
      <c r="P51" s="42"/>
      <c r="Q51" s="42">
        <f>Q49-Q45</f>
        <v>-8.4999999999979536E-3</v>
      </c>
      <c r="R51" s="42">
        <f t="shared" ref="R51:T52" si="13">R49-R45</f>
        <v>3.50000000000108E-2</v>
      </c>
      <c r="S51" s="42">
        <f t="shared" si="13"/>
        <v>1.4499999999998181E-2</v>
      </c>
      <c r="T51" s="42">
        <f t="shared" si="13"/>
        <v>3.399999999999892E-2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1.5873015873026475E-2</v>
      </c>
      <c r="C52" s="42">
        <f t="shared" si="12"/>
        <v>-5.2910052909851402E-3</v>
      </c>
      <c r="D52" s="42">
        <f t="shared" si="12"/>
        <v>5.5478502080461567E-3</v>
      </c>
      <c r="E52" s="42">
        <f t="shared" si="12"/>
        <v>2.1825396825391863E-2</v>
      </c>
      <c r="F52" s="42">
        <f t="shared" si="12"/>
        <v>5.9276822761944459E-4</v>
      </c>
      <c r="G52" s="42">
        <f t="shared" si="12"/>
        <v>9.2284976006027364E-3</v>
      </c>
      <c r="H52" s="42">
        <f t="shared" si="12"/>
        <v>7.6165706854851578E-3</v>
      </c>
      <c r="I52" s="42">
        <f t="shared" si="12"/>
        <v>7.5187969924854769E-3</v>
      </c>
      <c r="K52" s="41"/>
      <c r="L52" s="41"/>
      <c r="M52" s="41"/>
      <c r="N52" s="41"/>
      <c r="O52" s="42"/>
      <c r="P52" s="42"/>
      <c r="Q52" s="42">
        <f>Q50-Q46</f>
        <v>9.4130675526145069E-3</v>
      </c>
      <c r="R52" s="42">
        <f t="shared" si="13"/>
        <v>-2.631578947371338E-2</v>
      </c>
      <c r="S52" s="42">
        <f t="shared" si="13"/>
        <v>-1.5574650913009691E-2</v>
      </c>
      <c r="T52" s="42">
        <f t="shared" si="13"/>
        <v>-0.13492063492061845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8"/>
      <c r="P55" s="1018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1" t="s">
        <v>63</v>
      </c>
      <c r="C56" s="1032"/>
      <c r="D56" s="1032"/>
      <c r="E56" s="1032"/>
      <c r="F56" s="1032"/>
      <c r="G56" s="1032"/>
      <c r="H56" s="1033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</v>
      </c>
      <c r="C60" s="61">
        <v>31.3</v>
      </c>
      <c r="D60" s="61">
        <v>40.700000000000003</v>
      </c>
      <c r="E60" s="61">
        <v>38.9</v>
      </c>
      <c r="F60" s="61">
        <v>48.8</v>
      </c>
      <c r="G60" s="94">
        <v>14.1</v>
      </c>
      <c r="H60" s="264">
        <f t="shared" ref="H60:H65" si="14">SUM(B60:G60)</f>
        <v>195.79999999999998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22.6</v>
      </c>
      <c r="C61" s="61">
        <v>32.5</v>
      </c>
      <c r="D61" s="61">
        <v>42.2</v>
      </c>
      <c r="E61" s="61">
        <v>40.6</v>
      </c>
      <c r="F61" s="61">
        <v>50.9</v>
      </c>
      <c r="G61" s="94">
        <v>13.9</v>
      </c>
      <c r="H61" s="264">
        <f t="shared" si="14"/>
        <v>202.70000000000002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22.7</v>
      </c>
      <c r="C62" s="61">
        <v>32.5</v>
      </c>
      <c r="D62" s="61">
        <v>42.2</v>
      </c>
      <c r="E62" s="61">
        <v>40.700000000000003</v>
      </c>
      <c r="F62" s="61">
        <v>51</v>
      </c>
      <c r="G62" s="94">
        <v>14</v>
      </c>
      <c r="H62" s="264">
        <f t="shared" si="14"/>
        <v>203.10000000000002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22.7</v>
      </c>
      <c r="C64" s="61">
        <v>32.5</v>
      </c>
      <c r="D64" s="61">
        <v>42.2</v>
      </c>
      <c r="E64" s="61">
        <v>40.700000000000003</v>
      </c>
      <c r="F64" s="61">
        <v>51</v>
      </c>
      <c r="G64" s="94">
        <v>14</v>
      </c>
      <c r="H64" s="264">
        <f t="shared" si="14"/>
        <v>203.10000000000002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22.7</v>
      </c>
      <c r="C65" s="269">
        <v>32.6</v>
      </c>
      <c r="D65" s="269">
        <v>42.2</v>
      </c>
      <c r="E65" s="269">
        <v>40.700000000000003</v>
      </c>
      <c r="F65" s="269">
        <v>51</v>
      </c>
      <c r="G65" s="318">
        <v>14</v>
      </c>
      <c r="H65" s="265">
        <f t="shared" si="14"/>
        <v>203.2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112.7</v>
      </c>
      <c r="C66" s="120">
        <f t="shared" si="15"/>
        <v>161.4</v>
      </c>
      <c r="D66" s="120">
        <f t="shared" si="15"/>
        <v>209.5</v>
      </c>
      <c r="E66" s="120">
        <f t="shared" si="15"/>
        <v>201.60000000000002</v>
      </c>
      <c r="F66" s="120">
        <f t="shared" si="15"/>
        <v>252.7</v>
      </c>
      <c r="G66" s="121">
        <f t="shared" si="15"/>
        <v>70</v>
      </c>
      <c r="H66" s="263">
        <f t="shared" si="15"/>
        <v>1007.9000000000001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87</v>
      </c>
      <c r="C67" s="24">
        <v>87</v>
      </c>
      <c r="D67" s="24">
        <v>87</v>
      </c>
      <c r="E67" s="24">
        <v>87</v>
      </c>
      <c r="F67" s="24">
        <v>87</v>
      </c>
      <c r="G67" s="25">
        <v>87</v>
      </c>
      <c r="H67" s="128">
        <f>+((H66/H68)/7)*1000</f>
        <v>87.000431592576618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115</v>
      </c>
      <c r="H68" s="276">
        <f>SUM(B68:G68)</f>
        <v>1655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22.666250000000002</v>
      </c>
      <c r="C69" s="30">
        <f t="shared" si="16"/>
        <v>32.521249999999995</v>
      </c>
      <c r="D69" s="30">
        <f t="shared" si="16"/>
        <v>42.198999999999998</v>
      </c>
      <c r="E69" s="30">
        <f t="shared" si="16"/>
        <v>40.669750000000001</v>
      </c>
      <c r="F69" s="30">
        <f t="shared" si="16"/>
        <v>50.983750000000001</v>
      </c>
      <c r="G69" s="30">
        <f t="shared" si="16"/>
        <v>13.983749999999999</v>
      </c>
      <c r="H69" s="130">
        <f>((H66*1000)/H68)/7</f>
        <v>87.000431592576618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112.66500000000001</v>
      </c>
      <c r="C70" s="282">
        <f t="shared" si="17"/>
        <v>161.38499999999999</v>
      </c>
      <c r="D70" s="282">
        <f t="shared" si="17"/>
        <v>209.49600000000001</v>
      </c>
      <c r="E70" s="282">
        <f t="shared" si="17"/>
        <v>201.57900000000001</v>
      </c>
      <c r="F70" s="282">
        <f t="shared" si="17"/>
        <v>252.73500000000001</v>
      </c>
      <c r="G70" s="284">
        <f t="shared" si="17"/>
        <v>70.034999999999997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87.027027027027032</v>
      </c>
      <c r="C71" s="38">
        <f t="shared" si="18"/>
        <v>87.008086253369285</v>
      </c>
      <c r="D71" s="38">
        <f t="shared" si="18"/>
        <v>87.001661129568106</v>
      </c>
      <c r="E71" s="38">
        <f t="shared" si="18"/>
        <v>87.009063444108762</v>
      </c>
      <c r="F71" s="38">
        <f t="shared" si="18"/>
        <v>86.98795180722891</v>
      </c>
      <c r="G71" s="39">
        <f t="shared" si="18"/>
        <v>86.956521739130451</v>
      </c>
      <c r="H71" s="40"/>
      <c r="V71" s="3"/>
    </row>
    <row r="72" spans="1:33" ht="33.75" customHeight="1" x14ac:dyDescent="0.25">
      <c r="B72" s="42">
        <f>B70-B66</f>
        <v>-3.4999999999996589E-2</v>
      </c>
      <c r="C72" s="42">
        <f t="shared" ref="C72:F73" si="19">C70-C66</f>
        <v>-1.5000000000014779E-2</v>
      </c>
      <c r="D72" s="42">
        <f t="shared" si="19"/>
        <v>-3.9999999999906777E-3</v>
      </c>
      <c r="E72" s="42">
        <f t="shared" si="19"/>
        <v>-2.1000000000015007E-2</v>
      </c>
      <c r="F72" s="42">
        <f t="shared" si="19"/>
        <v>3.5000000000025011E-2</v>
      </c>
      <c r="G72" s="42">
        <f>G70-G66</f>
        <v>3.4999999999996589E-2</v>
      </c>
    </row>
    <row r="73" spans="1:33" ht="33.75" customHeight="1" x14ac:dyDescent="0.25">
      <c r="B73" s="42">
        <f>B71-B67</f>
        <v>2.7027027027031636E-2</v>
      </c>
      <c r="C73" s="42">
        <f t="shared" si="19"/>
        <v>8.0862533692851457E-3</v>
      </c>
      <c r="D73" s="42">
        <f t="shared" si="19"/>
        <v>1.6611295681059346E-3</v>
      </c>
      <c r="E73" s="42">
        <f t="shared" si="19"/>
        <v>9.0634441087615869E-3</v>
      </c>
      <c r="F73" s="42">
        <f t="shared" si="19"/>
        <v>-1.2048192771089816E-2</v>
      </c>
      <c r="G73" s="42">
        <f>G71-G67</f>
        <v>-4.3478260869548535E-2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H56"/>
    <mergeCell ref="B15:K15"/>
    <mergeCell ref="L15:P15"/>
    <mergeCell ref="Q15:Y15"/>
    <mergeCell ref="B35:J35"/>
    <mergeCell ref="Q35:U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0"/>
  <dimension ref="A1:AK243"/>
  <sheetViews>
    <sheetView topLeftCell="C20" zoomScale="30" zoomScaleNormal="30" workbookViewId="0">
      <selection activeCell="Z44" sqref="Z4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75</v>
      </c>
      <c r="Q11" s="1022"/>
      <c r="R11" s="6"/>
      <c r="S11" s="6"/>
      <c r="T11" s="1"/>
      <c r="U11" s="1"/>
      <c r="V11" s="1" t="s">
        <v>6</v>
      </c>
      <c r="W11" s="95">
        <v>45483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1"/>
      <c r="M14" s="1041"/>
      <c r="N14" s="1041"/>
      <c r="O14" s="1041"/>
      <c r="P14" s="1041"/>
      <c r="Q14" s="1041"/>
      <c r="R14" s="1041"/>
      <c r="S14" s="1041"/>
      <c r="T14" s="1041"/>
      <c r="U14" s="1041"/>
      <c r="V14" s="1041"/>
      <c r="W14" s="1041"/>
      <c r="X14" s="1041"/>
      <c r="Y14" s="1041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1025" t="s">
        <v>63</v>
      </c>
      <c r="M15" s="1026"/>
      <c r="N15" s="1026"/>
      <c r="O15" s="1026"/>
      <c r="P15" s="1030"/>
      <c r="Q15" s="1038" t="s">
        <v>8</v>
      </c>
      <c r="R15" s="1028"/>
      <c r="S15" s="1028"/>
      <c r="T15" s="1028"/>
      <c r="U15" s="1028"/>
      <c r="V15" s="1028"/>
      <c r="W15" s="1028"/>
      <c r="X15" s="1028"/>
      <c r="Y15" s="1028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66</v>
      </c>
      <c r="C19" s="282">
        <v>42.2</v>
      </c>
      <c r="D19" s="282">
        <v>42.5</v>
      </c>
      <c r="E19" s="282">
        <v>36.1</v>
      </c>
      <c r="F19" s="282">
        <v>23.9</v>
      </c>
      <c r="G19" s="338">
        <v>28.7</v>
      </c>
      <c r="H19" s="282">
        <v>51.6</v>
      </c>
      <c r="I19" s="282">
        <v>78</v>
      </c>
      <c r="J19" s="282">
        <v>64</v>
      </c>
      <c r="K19" s="283">
        <v>32.200000000000003</v>
      </c>
      <c r="L19" s="281">
        <v>32</v>
      </c>
      <c r="M19" s="282">
        <v>31.8</v>
      </c>
      <c r="N19" s="282">
        <v>45.9</v>
      </c>
      <c r="O19" s="282">
        <v>57.4</v>
      </c>
      <c r="P19" s="284">
        <v>56</v>
      </c>
      <c r="Q19" s="285">
        <v>56.1</v>
      </c>
      <c r="R19" s="282">
        <v>83.5</v>
      </c>
      <c r="S19" s="282">
        <v>40.5</v>
      </c>
      <c r="T19" s="282">
        <v>35.200000000000003</v>
      </c>
      <c r="U19" s="282">
        <v>28</v>
      </c>
      <c r="V19" s="282">
        <v>56.1</v>
      </c>
      <c r="W19" s="282">
        <v>56.7</v>
      </c>
      <c r="X19" s="283">
        <v>56.2</v>
      </c>
      <c r="Y19" s="284">
        <v>68.7</v>
      </c>
      <c r="Z19" s="98">
        <f t="shared" si="0"/>
        <v>1169.3000000000002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73.3</v>
      </c>
      <c r="C20" s="19">
        <v>46.9</v>
      </c>
      <c r="D20" s="19">
        <v>46.6</v>
      </c>
      <c r="E20" s="19">
        <v>40</v>
      </c>
      <c r="F20" s="19">
        <v>25.3</v>
      </c>
      <c r="G20" s="19">
        <v>31.6</v>
      </c>
      <c r="H20" s="19">
        <v>56.8</v>
      </c>
      <c r="I20" s="19">
        <v>85.7</v>
      </c>
      <c r="J20" s="19">
        <v>70.7</v>
      </c>
      <c r="K20" s="104">
        <v>35.700000000000003</v>
      </c>
      <c r="L20" s="18">
        <v>35.5</v>
      </c>
      <c r="M20" s="19">
        <v>35.5</v>
      </c>
      <c r="N20" s="19">
        <v>51.5</v>
      </c>
      <c r="O20" s="19">
        <v>64</v>
      </c>
      <c r="P20" s="20">
        <v>61.8</v>
      </c>
      <c r="Q20" s="61">
        <v>61.3</v>
      </c>
      <c r="R20" s="19">
        <v>92.7</v>
      </c>
      <c r="S20" s="19">
        <v>44.6</v>
      </c>
      <c r="T20" s="19">
        <v>38.5</v>
      </c>
      <c r="U20" s="19">
        <v>30.9</v>
      </c>
      <c r="V20" s="19">
        <v>62</v>
      </c>
      <c r="W20" s="19">
        <v>62.5</v>
      </c>
      <c r="X20" s="104">
        <v>62.3</v>
      </c>
      <c r="Y20" s="20">
        <v>75.7</v>
      </c>
      <c r="Z20" s="98">
        <f t="shared" si="0"/>
        <v>1291.4000000000001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73.3</v>
      </c>
      <c r="C21" s="19">
        <v>46.9</v>
      </c>
      <c r="D21" s="19">
        <v>46.6</v>
      </c>
      <c r="E21" s="19">
        <v>40</v>
      </c>
      <c r="F21" s="19">
        <v>25.3</v>
      </c>
      <c r="G21" s="19">
        <v>31.6</v>
      </c>
      <c r="H21" s="19">
        <v>56.9</v>
      </c>
      <c r="I21" s="19">
        <v>85.7</v>
      </c>
      <c r="J21" s="19">
        <v>70.7</v>
      </c>
      <c r="K21" s="104">
        <v>35.700000000000003</v>
      </c>
      <c r="L21" s="18">
        <v>35.5</v>
      </c>
      <c r="M21" s="19">
        <v>35.5</v>
      </c>
      <c r="N21" s="19">
        <v>51.4</v>
      </c>
      <c r="O21" s="19">
        <v>64</v>
      </c>
      <c r="P21" s="20">
        <v>61.9</v>
      </c>
      <c r="Q21" s="61">
        <v>61.3</v>
      </c>
      <c r="R21" s="19">
        <v>92.7</v>
      </c>
      <c r="S21" s="19">
        <v>44.6</v>
      </c>
      <c r="T21" s="19">
        <v>38.5</v>
      </c>
      <c r="U21" s="19">
        <v>31</v>
      </c>
      <c r="V21" s="19">
        <v>62.1</v>
      </c>
      <c r="W21" s="19">
        <v>62.5</v>
      </c>
      <c r="X21" s="104">
        <v>62.3</v>
      </c>
      <c r="Y21" s="20">
        <v>75.8</v>
      </c>
      <c r="Z21" s="98">
        <f t="shared" si="0"/>
        <v>1291.7999999999997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73.3</v>
      </c>
      <c r="C23" s="19">
        <v>47</v>
      </c>
      <c r="D23" s="19">
        <v>46.6</v>
      </c>
      <c r="E23" s="19">
        <v>40.1</v>
      </c>
      <c r="F23" s="19">
        <v>25.3</v>
      </c>
      <c r="G23" s="19">
        <v>31.7</v>
      </c>
      <c r="H23" s="19">
        <v>56.9</v>
      </c>
      <c r="I23" s="19">
        <v>85.8</v>
      </c>
      <c r="J23" s="19">
        <v>70.8</v>
      </c>
      <c r="K23" s="104">
        <v>35.700000000000003</v>
      </c>
      <c r="L23" s="18">
        <v>35.5</v>
      </c>
      <c r="M23" s="19">
        <v>35.6</v>
      </c>
      <c r="N23" s="19">
        <v>51.4</v>
      </c>
      <c r="O23" s="19">
        <v>64.099999999999994</v>
      </c>
      <c r="P23" s="20">
        <v>61.9</v>
      </c>
      <c r="Q23" s="61">
        <v>61.4</v>
      </c>
      <c r="R23" s="19">
        <v>92.7</v>
      </c>
      <c r="S23" s="19">
        <v>44.7</v>
      </c>
      <c r="T23" s="19">
        <v>38.6</v>
      </c>
      <c r="U23" s="19">
        <v>31</v>
      </c>
      <c r="V23" s="19">
        <v>62.1</v>
      </c>
      <c r="W23" s="19">
        <v>62.6</v>
      </c>
      <c r="X23" s="104">
        <v>62.3</v>
      </c>
      <c r="Y23" s="20">
        <v>75.8</v>
      </c>
      <c r="Z23" s="98">
        <f t="shared" si="0"/>
        <v>1292.8999999999999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73.400000000000006</v>
      </c>
      <c r="C24" s="227">
        <v>47</v>
      </c>
      <c r="D24" s="227">
        <v>46.6</v>
      </c>
      <c r="E24" s="227">
        <v>40.1</v>
      </c>
      <c r="F24" s="227">
        <v>25.4</v>
      </c>
      <c r="G24" s="227">
        <v>31.7</v>
      </c>
      <c r="H24" s="227">
        <v>56.9</v>
      </c>
      <c r="I24" s="227">
        <v>85.8</v>
      </c>
      <c r="J24" s="227">
        <v>70.8</v>
      </c>
      <c r="K24" s="325">
        <v>35.799999999999997</v>
      </c>
      <c r="L24" s="266">
        <v>35.6</v>
      </c>
      <c r="M24" s="19">
        <v>35.6</v>
      </c>
      <c r="N24" s="267">
        <v>51.4</v>
      </c>
      <c r="O24" s="267">
        <v>64.099999999999994</v>
      </c>
      <c r="P24" s="123">
        <v>61.9</v>
      </c>
      <c r="Q24" s="61">
        <v>61.4</v>
      </c>
      <c r="R24" s="227">
        <v>92.8</v>
      </c>
      <c r="S24" s="227">
        <v>44.7</v>
      </c>
      <c r="T24" s="227">
        <v>38.6</v>
      </c>
      <c r="U24" s="227">
        <v>31</v>
      </c>
      <c r="V24" s="227">
        <v>62.1</v>
      </c>
      <c r="W24" s="19">
        <v>62.6</v>
      </c>
      <c r="X24" s="325">
        <v>62.3</v>
      </c>
      <c r="Y24" s="228">
        <v>75.8</v>
      </c>
      <c r="Z24" s="330">
        <f t="shared" si="0"/>
        <v>1293.3999999999996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359.30000000000007</v>
      </c>
      <c r="C25" s="201">
        <f>SUM(C18:C24)</f>
        <v>230</v>
      </c>
      <c r="D25" s="201">
        <f t="shared" ref="D25:Y25" si="1">SUM(D18:D24)</f>
        <v>228.89999999999998</v>
      </c>
      <c r="E25" s="201">
        <f t="shared" si="1"/>
        <v>196.29999999999998</v>
      </c>
      <c r="F25" s="201">
        <f t="shared" si="1"/>
        <v>125.19999999999999</v>
      </c>
      <c r="G25" s="201">
        <f t="shared" si="1"/>
        <v>155.30000000000001</v>
      </c>
      <c r="H25" s="201">
        <f t="shared" si="1"/>
        <v>279.10000000000002</v>
      </c>
      <c r="I25" s="201">
        <f t="shared" si="1"/>
        <v>421</v>
      </c>
      <c r="J25" s="201">
        <f t="shared" si="1"/>
        <v>347</v>
      </c>
      <c r="K25" s="229">
        <f t="shared" si="1"/>
        <v>175.10000000000002</v>
      </c>
      <c r="L25" s="122">
        <f t="shared" si="1"/>
        <v>174.1</v>
      </c>
      <c r="M25" s="120">
        <f t="shared" si="1"/>
        <v>174</v>
      </c>
      <c r="N25" s="120">
        <f t="shared" si="1"/>
        <v>251.60000000000002</v>
      </c>
      <c r="O25" s="120">
        <f t="shared" si="1"/>
        <v>313.60000000000002</v>
      </c>
      <c r="P25" s="121">
        <f t="shared" si="1"/>
        <v>303.5</v>
      </c>
      <c r="Q25" s="119">
        <f t="shared" si="1"/>
        <v>301.5</v>
      </c>
      <c r="R25" s="120">
        <f t="shared" si="1"/>
        <v>454.4</v>
      </c>
      <c r="S25" s="120">
        <f t="shared" si="1"/>
        <v>219.09999999999997</v>
      </c>
      <c r="T25" s="120">
        <f t="shared" si="1"/>
        <v>189.4</v>
      </c>
      <c r="U25" s="120">
        <f t="shared" si="1"/>
        <v>151.9</v>
      </c>
      <c r="V25" s="120">
        <f t="shared" si="1"/>
        <v>304.39999999999998</v>
      </c>
      <c r="W25" s="120">
        <f t="shared" si="1"/>
        <v>306.89999999999998</v>
      </c>
      <c r="X25" s="268">
        <f t="shared" si="1"/>
        <v>305.40000000000003</v>
      </c>
      <c r="Y25" s="121">
        <f t="shared" si="1"/>
        <v>371.8</v>
      </c>
      <c r="Z25" s="326">
        <f>SUM(Z18:Z24)</f>
        <v>6338.7999999999993</v>
      </c>
      <c r="AB25" s="42"/>
    </row>
    <row r="26" spans="1:37" s="2" customFormat="1" ht="36.75" customHeight="1" x14ac:dyDescent="0.25">
      <c r="A26" s="148" t="s">
        <v>11</v>
      </c>
      <c r="B26" s="23">
        <v>76.5</v>
      </c>
      <c r="C26" s="24">
        <v>77.5</v>
      </c>
      <c r="D26" s="24">
        <v>77.5</v>
      </c>
      <c r="E26" s="24">
        <v>79</v>
      </c>
      <c r="F26" s="24">
        <v>79.5</v>
      </c>
      <c r="G26" s="24">
        <v>79.5</v>
      </c>
      <c r="H26" s="24">
        <v>78.5</v>
      </c>
      <c r="I26" s="24">
        <v>77</v>
      </c>
      <c r="J26" s="24">
        <v>75</v>
      </c>
      <c r="K26" s="155">
        <v>74</v>
      </c>
      <c r="L26" s="23">
        <v>77.5</v>
      </c>
      <c r="M26" s="24">
        <v>74</v>
      </c>
      <c r="N26" s="24">
        <v>73.5</v>
      </c>
      <c r="O26" s="24">
        <v>70</v>
      </c>
      <c r="P26" s="25">
        <v>73</v>
      </c>
      <c r="Q26" s="63">
        <v>76.5</v>
      </c>
      <c r="R26" s="24">
        <v>78.5</v>
      </c>
      <c r="S26" s="24">
        <v>81.5</v>
      </c>
      <c r="T26" s="24">
        <v>83</v>
      </c>
      <c r="U26" s="24">
        <v>79.5</v>
      </c>
      <c r="V26" s="24">
        <v>78.5</v>
      </c>
      <c r="W26" s="24">
        <v>78</v>
      </c>
      <c r="X26" s="155">
        <v>77.5</v>
      </c>
      <c r="Y26" s="25">
        <v>74.5</v>
      </c>
      <c r="Z26" s="327">
        <f>((Z25/Z27)/7)*1000</f>
        <v>76.682433495034033</v>
      </c>
    </row>
    <row r="27" spans="1:37" s="2" customFormat="1" ht="33" customHeight="1" x14ac:dyDescent="0.25">
      <c r="A27" s="149" t="s">
        <v>12</v>
      </c>
      <c r="B27" s="26">
        <v>671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273</v>
      </c>
      <c r="V27" s="27">
        <v>554</v>
      </c>
      <c r="W27" s="27">
        <v>562</v>
      </c>
      <c r="X27" s="156">
        <v>563</v>
      </c>
      <c r="Y27" s="28">
        <v>713</v>
      </c>
      <c r="Z27" s="328">
        <f>SUM(B27:Y27)</f>
        <v>11809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73.330124999999995</v>
      </c>
      <c r="C28" s="30">
        <f t="shared" ref="C28:Y28" si="2">((((C26*7)*C27)/1000)-(C18+C19))/4</f>
        <v>46.954999999999998</v>
      </c>
      <c r="D28" s="30">
        <f t="shared" si="2"/>
        <v>46.608750000000001</v>
      </c>
      <c r="E28" s="30">
        <f t="shared" si="2"/>
        <v>40.053750000000001</v>
      </c>
      <c r="F28" s="30">
        <f t="shared" si="2"/>
        <v>25.328125</v>
      </c>
      <c r="G28" s="30">
        <f t="shared" si="2"/>
        <v>31.640874999999998</v>
      </c>
      <c r="H28" s="30">
        <f t="shared" si="2"/>
        <v>56.886500000000005</v>
      </c>
      <c r="I28" s="30">
        <f t="shared" si="2"/>
        <v>85.739750000000001</v>
      </c>
      <c r="J28" s="30">
        <f t="shared" si="2"/>
        <v>70.756249999999994</v>
      </c>
      <c r="K28" s="30">
        <f t="shared" si="2"/>
        <v>35.721000000000004</v>
      </c>
      <c r="L28" s="30">
        <f t="shared" si="2"/>
        <v>35.535625000000003</v>
      </c>
      <c r="M28" s="30">
        <f t="shared" si="2"/>
        <v>35.561999999999998</v>
      </c>
      <c r="N28" s="30">
        <f t="shared" si="2"/>
        <v>51.422624999999996</v>
      </c>
      <c r="O28" s="30">
        <f t="shared" si="2"/>
        <v>64.050000000000011</v>
      </c>
      <c r="P28" s="30">
        <f t="shared" si="2"/>
        <v>61.883499999999998</v>
      </c>
      <c r="Q28" s="30">
        <f t="shared" si="2"/>
        <v>61.346624999999996</v>
      </c>
      <c r="R28" s="30">
        <f t="shared" si="2"/>
        <v>92.734125000000006</v>
      </c>
      <c r="S28" s="30">
        <f t="shared" si="2"/>
        <v>44.643000000000001</v>
      </c>
      <c r="T28" s="30">
        <f t="shared" si="2"/>
        <v>38.551500000000004</v>
      </c>
      <c r="U28" s="30">
        <f t="shared" si="2"/>
        <v>30.981124999999999</v>
      </c>
      <c r="V28" s="30">
        <f t="shared" si="2"/>
        <v>62.080750000000002</v>
      </c>
      <c r="W28" s="30">
        <f t="shared" si="2"/>
        <v>62.537999999999997</v>
      </c>
      <c r="X28" s="30">
        <f t="shared" si="2"/>
        <v>62.306875000000005</v>
      </c>
      <c r="Y28" s="30">
        <f t="shared" si="2"/>
        <v>75.782375000000002</v>
      </c>
      <c r="Z28" s="329">
        <f>((Z25*1000)/7)/Z27</f>
        <v>76.682433495034047</v>
      </c>
      <c r="AB28" s="43"/>
    </row>
    <row r="29" spans="1:37" ht="33.75" customHeight="1" x14ac:dyDescent="0.25">
      <c r="A29" s="151" t="s">
        <v>14</v>
      </c>
      <c r="B29" s="281">
        <f>((B27*B26)*7)/1000</f>
        <v>359.32049999999998</v>
      </c>
      <c r="C29" s="282">
        <f>((C27*C26)*7)/1000</f>
        <v>230.02</v>
      </c>
      <c r="D29" s="282">
        <f t="shared" ref="D29:Y29" si="3">((D27*D26)*7)/1000</f>
        <v>228.935</v>
      </c>
      <c r="E29" s="282">
        <f t="shared" si="3"/>
        <v>196.315</v>
      </c>
      <c r="F29" s="282">
        <f t="shared" si="3"/>
        <v>125.21250000000001</v>
      </c>
      <c r="G29" s="282">
        <f t="shared" si="3"/>
        <v>155.26349999999999</v>
      </c>
      <c r="H29" s="282">
        <f t="shared" si="3"/>
        <v>279.14600000000002</v>
      </c>
      <c r="I29" s="282">
        <f t="shared" si="3"/>
        <v>420.959</v>
      </c>
      <c r="J29" s="282">
        <f t="shared" si="3"/>
        <v>347.02499999999998</v>
      </c>
      <c r="K29" s="283">
        <f t="shared" si="3"/>
        <v>175.084</v>
      </c>
      <c r="L29" s="281">
        <f t="shared" si="3"/>
        <v>174.14250000000001</v>
      </c>
      <c r="M29" s="282">
        <f t="shared" si="3"/>
        <v>174.048</v>
      </c>
      <c r="N29" s="282">
        <f t="shared" si="3"/>
        <v>251.59049999999999</v>
      </c>
      <c r="O29" s="282">
        <f t="shared" si="3"/>
        <v>313.60000000000002</v>
      </c>
      <c r="P29" s="284">
        <f t="shared" si="3"/>
        <v>303.53399999999999</v>
      </c>
      <c r="Q29" s="285">
        <f t="shared" si="3"/>
        <v>301.48649999999998</v>
      </c>
      <c r="R29" s="282">
        <f t="shared" si="3"/>
        <v>454.43650000000002</v>
      </c>
      <c r="S29" s="282">
        <f t="shared" si="3"/>
        <v>219.072</v>
      </c>
      <c r="T29" s="282">
        <f t="shared" si="3"/>
        <v>189.40600000000001</v>
      </c>
      <c r="U29" s="282">
        <f t="shared" si="3"/>
        <v>151.92449999999999</v>
      </c>
      <c r="V29" s="282">
        <f t="shared" si="3"/>
        <v>304.423</v>
      </c>
      <c r="W29" s="282">
        <f t="shared" si="3"/>
        <v>306.85199999999998</v>
      </c>
      <c r="X29" s="283">
        <f t="shared" si="3"/>
        <v>305.42750000000001</v>
      </c>
      <c r="Y29" s="284">
        <f t="shared" si="3"/>
        <v>371.8295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76.495635512028969</v>
      </c>
      <c r="C30" s="38">
        <f t="shared" ref="C30:Y30" si="4">+(C25/C27)/7*1000</f>
        <v>77.493261455525612</v>
      </c>
      <c r="D30" s="38">
        <f t="shared" si="4"/>
        <v>77.488151658767762</v>
      </c>
      <c r="E30" s="38">
        <f t="shared" si="4"/>
        <v>78.99396378269617</v>
      </c>
      <c r="F30" s="38">
        <f t="shared" si="4"/>
        <v>79.492063492063494</v>
      </c>
      <c r="G30" s="38">
        <f t="shared" si="4"/>
        <v>79.518689196108568</v>
      </c>
      <c r="H30" s="38">
        <f t="shared" si="4"/>
        <v>78.48706411698538</v>
      </c>
      <c r="I30" s="38">
        <f t="shared" si="4"/>
        <v>77.007499542710818</v>
      </c>
      <c r="J30" s="38">
        <f t="shared" si="4"/>
        <v>74.994596931056833</v>
      </c>
      <c r="K30" s="158">
        <f t="shared" si="4"/>
        <v>74.006762468300948</v>
      </c>
      <c r="L30" s="37">
        <f t="shared" si="4"/>
        <v>77.481085892300854</v>
      </c>
      <c r="M30" s="38">
        <f t="shared" si="4"/>
        <v>73.979591836734713</v>
      </c>
      <c r="N30" s="38">
        <f t="shared" si="4"/>
        <v>73.502775343266137</v>
      </c>
      <c r="O30" s="38">
        <f t="shared" si="4"/>
        <v>70</v>
      </c>
      <c r="P30" s="39">
        <f t="shared" si="4"/>
        <v>72.991822991822986</v>
      </c>
      <c r="Q30" s="67">
        <f t="shared" si="4"/>
        <v>76.503425526516111</v>
      </c>
      <c r="R30" s="38">
        <f t="shared" si="4"/>
        <v>78.493694938676796</v>
      </c>
      <c r="S30" s="38">
        <f t="shared" si="4"/>
        <v>81.510416666666657</v>
      </c>
      <c r="T30" s="38">
        <f t="shared" si="4"/>
        <v>82.99737072743207</v>
      </c>
      <c r="U30" s="38">
        <f t="shared" si="4"/>
        <v>79.487179487179503</v>
      </c>
      <c r="V30" s="38">
        <f t="shared" si="4"/>
        <v>78.49406910778751</v>
      </c>
      <c r="W30" s="38">
        <f t="shared" si="4"/>
        <v>78.012201321809854</v>
      </c>
      <c r="X30" s="158">
        <f t="shared" si="4"/>
        <v>77.493022075615343</v>
      </c>
      <c r="Y30" s="39">
        <f t="shared" si="4"/>
        <v>74.494089360849529</v>
      </c>
      <c r="Z30" s="237"/>
      <c r="AB30" s="42"/>
    </row>
    <row r="31" spans="1:37" ht="33.75" customHeight="1" x14ac:dyDescent="0.25">
      <c r="A31" s="41"/>
      <c r="B31" s="42">
        <f>B29-B25</f>
        <v>2.0499999999913143E-2</v>
      </c>
      <c r="C31" s="42">
        <f t="shared" ref="C31:Y32" si="5">C29-C25</f>
        <v>2.0000000000010232E-2</v>
      </c>
      <c r="D31" s="42">
        <f t="shared" si="5"/>
        <v>3.5000000000025011E-2</v>
      </c>
      <c r="E31" s="42">
        <f t="shared" si="5"/>
        <v>1.5000000000014779E-2</v>
      </c>
      <c r="F31" s="42">
        <f t="shared" si="5"/>
        <v>1.2500000000017053E-2</v>
      </c>
      <c r="G31" s="42">
        <f t="shared" si="5"/>
        <v>-3.6500000000017963E-2</v>
      </c>
      <c r="H31" s="42">
        <f t="shared" si="5"/>
        <v>4.5999999999992269E-2</v>
      </c>
      <c r="I31" s="42">
        <f t="shared" si="5"/>
        <v>-4.0999999999996817E-2</v>
      </c>
      <c r="J31" s="42">
        <f t="shared" si="5"/>
        <v>2.4999999999977263E-2</v>
      </c>
      <c r="K31" s="42">
        <f t="shared" si="5"/>
        <v>-1.6000000000019554E-2</v>
      </c>
      <c r="L31" s="42">
        <f t="shared" si="5"/>
        <v>4.250000000001819E-2</v>
      </c>
      <c r="M31" s="42">
        <f t="shared" si="5"/>
        <v>4.8000000000001819E-2</v>
      </c>
      <c r="N31" s="42">
        <f t="shared" si="5"/>
        <v>-9.5000000000311502E-3</v>
      </c>
      <c r="O31" s="42">
        <f t="shared" si="5"/>
        <v>0</v>
      </c>
      <c r="P31" s="42">
        <f t="shared" si="5"/>
        <v>3.3999999999991815E-2</v>
      </c>
      <c r="Q31" s="42">
        <f t="shared" si="5"/>
        <v>-1.3500000000021828E-2</v>
      </c>
      <c r="R31" s="42">
        <f t="shared" si="5"/>
        <v>3.6500000000046384E-2</v>
      </c>
      <c r="S31" s="42">
        <f t="shared" si="5"/>
        <v>-2.7999999999963165E-2</v>
      </c>
      <c r="T31" s="42">
        <f t="shared" si="5"/>
        <v>6.0000000000002274E-3</v>
      </c>
      <c r="U31" s="42">
        <f t="shared" si="5"/>
        <v>2.4499999999989086E-2</v>
      </c>
      <c r="V31" s="42">
        <f t="shared" si="5"/>
        <v>2.3000000000024556E-2</v>
      </c>
      <c r="W31" s="42">
        <f t="shared" si="5"/>
        <v>-4.8000000000001819E-2</v>
      </c>
      <c r="X31" s="42">
        <f t="shared" si="5"/>
        <v>2.7499999999974989E-2</v>
      </c>
      <c r="Y31" s="42">
        <f t="shared" si="5"/>
        <v>2.9499999999984539E-2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-4.3644879710313944E-3</v>
      </c>
      <c r="C32" s="42">
        <f t="shared" si="5"/>
        <v>-6.7385444743877088E-3</v>
      </c>
      <c r="D32" s="42">
        <f t="shared" si="5"/>
        <v>-1.1848341232237658E-2</v>
      </c>
      <c r="E32" s="42">
        <f t="shared" si="5"/>
        <v>-6.0362173038299716E-3</v>
      </c>
      <c r="F32" s="42">
        <f t="shared" si="5"/>
        <v>-7.936507936506132E-3</v>
      </c>
      <c r="G32" s="42">
        <f t="shared" si="5"/>
        <v>1.8689196108567785E-2</v>
      </c>
      <c r="H32" s="42">
        <f t="shared" si="5"/>
        <v>-1.2935883014620231E-2</v>
      </c>
      <c r="I32" s="42">
        <f t="shared" si="5"/>
        <v>7.4995427108177637E-3</v>
      </c>
      <c r="J32" s="42">
        <f t="shared" si="5"/>
        <v>-5.4030689431669998E-3</v>
      </c>
      <c r="K32" s="42">
        <f t="shared" si="5"/>
        <v>6.7624683009483988E-3</v>
      </c>
      <c r="L32" s="42">
        <f t="shared" si="5"/>
        <v>-1.8914107699146143E-2</v>
      </c>
      <c r="M32" s="42">
        <f t="shared" si="5"/>
        <v>-2.0408163265287271E-2</v>
      </c>
      <c r="N32" s="42">
        <f t="shared" si="5"/>
        <v>2.7753432661370425E-3</v>
      </c>
      <c r="O32" s="42">
        <f t="shared" si="5"/>
        <v>0</v>
      </c>
      <c r="P32" s="42">
        <f t="shared" si="5"/>
        <v>-8.1770081770144998E-3</v>
      </c>
      <c r="Q32" s="42">
        <f>Q30-Q26</f>
        <v>3.4255265161107218E-3</v>
      </c>
      <c r="R32" s="42">
        <f t="shared" si="5"/>
        <v>-6.3050613232036312E-3</v>
      </c>
      <c r="S32" s="42">
        <f t="shared" si="5"/>
        <v>1.0416666666657193E-2</v>
      </c>
      <c r="T32" s="42">
        <f t="shared" si="5"/>
        <v>-2.6292725679297746E-3</v>
      </c>
      <c r="U32" s="42">
        <f t="shared" si="5"/>
        <v>-1.2820512820496788E-2</v>
      </c>
      <c r="V32" s="42">
        <f t="shared" si="5"/>
        <v>-5.93089221248988E-3</v>
      </c>
      <c r="W32" s="42">
        <f t="shared" si="5"/>
        <v>1.2201321809854448E-2</v>
      </c>
      <c r="X32" s="42">
        <f t="shared" si="5"/>
        <v>-6.9779243846568306E-3</v>
      </c>
      <c r="Y32" s="42">
        <f t="shared" si="5"/>
        <v>-5.9106391504712974E-3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5" t="s">
        <v>8</v>
      </c>
      <c r="C35" s="1036"/>
      <c r="D35" s="1036"/>
      <c r="E35" s="1036"/>
      <c r="F35" s="1036"/>
      <c r="G35" s="1036"/>
      <c r="H35" s="1036"/>
      <c r="I35" s="1036"/>
      <c r="J35" s="1037"/>
      <c r="K35" s="244"/>
      <c r="L35" s="42"/>
      <c r="M35" s="42"/>
      <c r="N35" s="42"/>
      <c r="O35" s="44"/>
      <c r="P35" s="88" t="s">
        <v>18</v>
      </c>
      <c r="Q35" s="1031" t="s">
        <v>8</v>
      </c>
      <c r="R35" s="1032"/>
      <c r="S35" s="1032"/>
      <c r="T35" s="1032"/>
      <c r="U35" s="1033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39.799999999999997</v>
      </c>
      <c r="C39" s="282">
        <v>56.3</v>
      </c>
      <c r="D39" s="282">
        <v>44.2</v>
      </c>
      <c r="E39" s="282">
        <v>31.9</v>
      </c>
      <c r="F39" s="282">
        <v>26.2</v>
      </c>
      <c r="G39" s="282">
        <v>41</v>
      </c>
      <c r="H39" s="282">
        <v>79.3</v>
      </c>
      <c r="I39" s="284">
        <v>47.8</v>
      </c>
      <c r="J39" s="98">
        <f t="shared" si="6"/>
        <v>366.5</v>
      </c>
      <c r="K39" s="309"/>
      <c r="L39" s="42"/>
      <c r="M39" s="42"/>
      <c r="N39" s="42"/>
      <c r="O39" s="2"/>
      <c r="P39" s="146" t="s">
        <v>24</v>
      </c>
      <c r="Q39" s="18">
        <v>14.7</v>
      </c>
      <c r="R39" s="19">
        <v>21.3</v>
      </c>
      <c r="S39" s="19">
        <v>14.9</v>
      </c>
      <c r="T39" s="233">
        <v>4</v>
      </c>
      <c r="U39" s="264">
        <f t="shared" ref="U39:U44" si="7">SUM(Q39:T39)</f>
        <v>54.9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43.4</v>
      </c>
      <c r="C40" s="19">
        <v>61.2</v>
      </c>
      <c r="D40" s="19">
        <v>47.9</v>
      </c>
      <c r="E40" s="19">
        <v>34.4</v>
      </c>
      <c r="F40" s="19">
        <v>28.3</v>
      </c>
      <c r="G40" s="19">
        <v>44.5</v>
      </c>
      <c r="H40" s="19">
        <v>86.5</v>
      </c>
      <c r="I40" s="20">
        <v>51.9</v>
      </c>
      <c r="J40" s="98">
        <f t="shared" si="6"/>
        <v>398.1</v>
      </c>
      <c r="K40" s="49"/>
      <c r="L40" s="196"/>
      <c r="M40" s="196"/>
      <c r="N40" s="196"/>
      <c r="O40" s="2"/>
      <c r="P40" s="146" t="s">
        <v>20</v>
      </c>
      <c r="Q40" s="18">
        <v>15.4</v>
      </c>
      <c r="R40" s="19">
        <v>22.7</v>
      </c>
      <c r="S40" s="19">
        <v>15.9</v>
      </c>
      <c r="T40" s="233">
        <v>4.2</v>
      </c>
      <c r="U40" s="264">
        <f t="shared" si="7"/>
        <v>58.2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43.4</v>
      </c>
      <c r="C41" s="19">
        <v>61.2</v>
      </c>
      <c r="D41" s="19">
        <v>47.9</v>
      </c>
      <c r="E41" s="19">
        <v>34.5</v>
      </c>
      <c r="F41" s="19">
        <v>28.3</v>
      </c>
      <c r="G41" s="19">
        <v>44.5</v>
      </c>
      <c r="H41" s="19">
        <v>86.5</v>
      </c>
      <c r="I41" s="20">
        <v>51.9</v>
      </c>
      <c r="J41" s="98">
        <f t="shared" si="6"/>
        <v>398.2</v>
      </c>
      <c r="K41" s="49"/>
      <c r="L41" s="2"/>
      <c r="M41" s="2"/>
      <c r="N41" s="2"/>
      <c r="O41" s="2"/>
      <c r="P41" s="146" t="s">
        <v>28</v>
      </c>
      <c r="Q41" s="18">
        <v>15.5</v>
      </c>
      <c r="R41" s="19">
        <v>22.8</v>
      </c>
      <c r="S41" s="19">
        <v>15.9</v>
      </c>
      <c r="T41" s="233">
        <v>4.2</v>
      </c>
      <c r="U41" s="264">
        <f t="shared" si="7"/>
        <v>58.4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43.4</v>
      </c>
      <c r="C43" s="19">
        <v>61.3</v>
      </c>
      <c r="D43" s="19">
        <v>47.9</v>
      </c>
      <c r="E43" s="19">
        <v>34.5</v>
      </c>
      <c r="F43" s="19">
        <v>28.3</v>
      </c>
      <c r="G43" s="19">
        <v>44.5</v>
      </c>
      <c r="H43" s="19">
        <v>86.5</v>
      </c>
      <c r="I43" s="20">
        <v>51.9</v>
      </c>
      <c r="J43" s="98">
        <f t="shared" si="6"/>
        <v>398.29999999999995</v>
      </c>
      <c r="K43" s="49"/>
      <c r="L43" s="43"/>
      <c r="M43" s="43"/>
      <c r="N43" s="43"/>
      <c r="O43" s="2"/>
      <c r="P43" s="146" t="s">
        <v>22</v>
      </c>
      <c r="Q43" s="18">
        <v>15.5</v>
      </c>
      <c r="R43" s="19">
        <v>22.8</v>
      </c>
      <c r="S43" s="19">
        <v>16</v>
      </c>
      <c r="T43" s="233">
        <v>4.2</v>
      </c>
      <c r="U43" s="264">
        <f t="shared" si="7"/>
        <v>58.5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43.5</v>
      </c>
      <c r="C44" s="19">
        <v>61.3</v>
      </c>
      <c r="D44" s="227">
        <v>48</v>
      </c>
      <c r="E44" s="227">
        <v>34.5</v>
      </c>
      <c r="F44" s="227">
        <v>28.3</v>
      </c>
      <c r="G44" s="227">
        <v>44.6</v>
      </c>
      <c r="H44" s="227">
        <v>86.5</v>
      </c>
      <c r="I44" s="228">
        <v>52</v>
      </c>
      <c r="J44" s="272">
        <f t="shared" si="6"/>
        <v>398.70000000000005</v>
      </c>
      <c r="K44" s="49"/>
      <c r="L44" s="41"/>
      <c r="M44" s="41"/>
      <c r="N44" s="41"/>
      <c r="O44" s="2"/>
      <c r="P44" s="146" t="s">
        <v>23</v>
      </c>
      <c r="Q44" s="226">
        <v>15.5</v>
      </c>
      <c r="R44" s="227">
        <v>22.8</v>
      </c>
      <c r="S44" s="227">
        <v>16</v>
      </c>
      <c r="T44" s="311">
        <v>4.2</v>
      </c>
      <c r="U44" s="265">
        <f t="shared" si="7"/>
        <v>58.5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213.5</v>
      </c>
      <c r="C45" s="201">
        <f t="shared" si="8"/>
        <v>301.3</v>
      </c>
      <c r="D45" s="201">
        <f t="shared" si="8"/>
        <v>235.9</v>
      </c>
      <c r="E45" s="201">
        <f t="shared" si="8"/>
        <v>169.8</v>
      </c>
      <c r="F45" s="201">
        <f t="shared" si="8"/>
        <v>139.4</v>
      </c>
      <c r="G45" s="201">
        <f t="shared" si="8"/>
        <v>219.1</v>
      </c>
      <c r="H45" s="201">
        <f t="shared" si="8"/>
        <v>425.3</v>
      </c>
      <c r="I45" s="273">
        <f t="shared" si="8"/>
        <v>255.5</v>
      </c>
      <c r="J45" s="252">
        <f t="shared" si="6"/>
        <v>1959.8</v>
      </c>
      <c r="K45" s="49"/>
      <c r="L45" s="42"/>
      <c r="M45" s="42"/>
      <c r="N45" s="42"/>
      <c r="P45" s="80" t="s">
        <v>9</v>
      </c>
      <c r="Q45" s="200">
        <f>SUM(Q38:Q44)</f>
        <v>76.599999999999994</v>
      </c>
      <c r="R45" s="201">
        <f>SUM(R38:R44)</f>
        <v>112.39999999999999</v>
      </c>
      <c r="S45" s="201">
        <f>SUM(S38:S44)</f>
        <v>78.7</v>
      </c>
      <c r="T45" s="201">
        <f>SUM(T38:T44)</f>
        <v>20.799999999999997</v>
      </c>
      <c r="U45" s="313">
        <f>SUM(Q45:T45)</f>
        <v>288.5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79</v>
      </c>
      <c r="C46" s="24">
        <v>80</v>
      </c>
      <c r="D46" s="24">
        <v>82</v>
      </c>
      <c r="E46" s="24">
        <v>84.5</v>
      </c>
      <c r="F46" s="24">
        <v>83</v>
      </c>
      <c r="G46" s="24">
        <v>81.5</v>
      </c>
      <c r="H46" s="24">
        <v>79</v>
      </c>
      <c r="I46" s="25">
        <v>77</v>
      </c>
      <c r="J46" s="234">
        <f>+((J45/J47)/7)*1000</f>
        <v>80.244032264668562</v>
      </c>
      <c r="K46" s="50"/>
      <c r="L46" s="49"/>
      <c r="M46" s="49"/>
      <c r="N46" s="49"/>
      <c r="P46" s="93" t="s">
        <v>11</v>
      </c>
      <c r="Q46" s="63">
        <v>85.5</v>
      </c>
      <c r="R46" s="24">
        <v>84.5</v>
      </c>
      <c r="S46" s="24">
        <v>84.5</v>
      </c>
      <c r="T46" s="24">
        <v>85</v>
      </c>
      <c r="U46" s="234">
        <f>+((U45/U47)/7)*1000</f>
        <v>84.803057025279259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287</v>
      </c>
      <c r="F47" s="27">
        <v>240</v>
      </c>
      <c r="G47" s="27">
        <v>384</v>
      </c>
      <c r="H47" s="27">
        <v>769</v>
      </c>
      <c r="I47" s="28">
        <v>474</v>
      </c>
      <c r="J47" s="256">
        <f>SUM(B47:I47)</f>
        <v>3489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43.414500000000004</v>
      </c>
      <c r="C48" s="30">
        <f t="shared" ref="C48:I48" si="9">((((C46*7)*C47)/1000)-(C38+C39))/4</f>
        <v>61.24499999999999</v>
      </c>
      <c r="D48" s="30">
        <f t="shared" si="9"/>
        <v>47.9285</v>
      </c>
      <c r="E48" s="30">
        <f t="shared" si="9"/>
        <v>34.465125</v>
      </c>
      <c r="F48" s="30">
        <f t="shared" si="9"/>
        <v>28.31</v>
      </c>
      <c r="G48" s="30">
        <f t="shared" si="9"/>
        <v>44.518000000000001</v>
      </c>
      <c r="H48" s="30">
        <f t="shared" si="9"/>
        <v>86.489249999999998</v>
      </c>
      <c r="I48" s="30">
        <f t="shared" si="9"/>
        <v>51.921499999999995</v>
      </c>
      <c r="J48" s="257">
        <f>((J45*1000)/J47)/7</f>
        <v>80.244032264668562</v>
      </c>
      <c r="K48" s="192"/>
      <c r="L48" s="49"/>
      <c r="M48" s="49"/>
      <c r="N48" s="49"/>
      <c r="P48" s="72" t="s">
        <v>13</v>
      </c>
      <c r="Q48" s="65">
        <f>((((Q46*7)*Q47)/1000)-(Q38+Q39))/4</f>
        <v>15.477</v>
      </c>
      <c r="R48" s="65">
        <f>((((R46*7)*R47)/1000)-(R38+R39))/4</f>
        <v>22.771250000000002</v>
      </c>
      <c r="S48" s="65">
        <f>((((S46*7)*S47)/1000)-(S38+S39))/4</f>
        <v>15.942375</v>
      </c>
      <c r="T48" s="65">
        <f>((((T46*7)*T47)/1000)-(T38+T39))/4</f>
        <v>4.2062499999999998</v>
      </c>
      <c r="U48" s="253">
        <f>((U45*1000)/U47)/7</f>
        <v>84.803057025279244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213.458</v>
      </c>
      <c r="C49" s="282">
        <f t="shared" si="10"/>
        <v>301.27999999999997</v>
      </c>
      <c r="D49" s="282">
        <f t="shared" si="10"/>
        <v>235.91399999999999</v>
      </c>
      <c r="E49" s="282">
        <f t="shared" si="10"/>
        <v>169.76050000000001</v>
      </c>
      <c r="F49" s="282">
        <f t="shared" si="10"/>
        <v>139.44</v>
      </c>
      <c r="G49" s="282">
        <f t="shared" si="10"/>
        <v>219.072</v>
      </c>
      <c r="H49" s="282">
        <f t="shared" si="10"/>
        <v>425.25700000000001</v>
      </c>
      <c r="I49" s="284">
        <f t="shared" si="10"/>
        <v>255.48599999999999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76.608000000000004</v>
      </c>
      <c r="R49" s="282">
        <f>((R47*R46)*7)/1000</f>
        <v>112.38500000000001</v>
      </c>
      <c r="S49" s="282">
        <f>((S47*S46)*7)/1000</f>
        <v>78.669499999999999</v>
      </c>
      <c r="T49" s="282">
        <f>((T47*T46)*7)/1000</f>
        <v>20.824999999999999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79.015544041450767</v>
      </c>
      <c r="C50" s="38">
        <f t="shared" si="11"/>
        <v>80.005310674455671</v>
      </c>
      <c r="D50" s="38">
        <f t="shared" si="11"/>
        <v>81.995133819951334</v>
      </c>
      <c r="E50" s="38">
        <f t="shared" si="11"/>
        <v>84.519661523145842</v>
      </c>
      <c r="F50" s="38">
        <f t="shared" si="11"/>
        <v>82.976190476190467</v>
      </c>
      <c r="G50" s="38">
        <f t="shared" si="11"/>
        <v>81.510416666666671</v>
      </c>
      <c r="H50" s="38">
        <f t="shared" si="11"/>
        <v>79.007988110718941</v>
      </c>
      <c r="I50" s="39">
        <f t="shared" si="11"/>
        <v>77.004219409282697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85.491071428571416</v>
      </c>
      <c r="R50" s="38">
        <f>+(R45/R47)/7*1000</f>
        <v>84.511278195488714</v>
      </c>
      <c r="S50" s="38">
        <f>+(S45/S47)/7*1000</f>
        <v>84.532760472610093</v>
      </c>
      <c r="T50" s="38">
        <f>+(T45/T47)/7*1000</f>
        <v>84.897959183673464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-4.2000000000001592E-2</v>
      </c>
      <c r="C51" s="42">
        <f t="shared" ref="C51:I52" si="12">C49-C45</f>
        <v>-2.0000000000038654E-2</v>
      </c>
      <c r="D51" s="42">
        <f t="shared" si="12"/>
        <v>1.3999999999981583E-2</v>
      </c>
      <c r="E51" s="42">
        <f t="shared" si="12"/>
        <v>-3.9500000000003865E-2</v>
      </c>
      <c r="F51" s="42">
        <f t="shared" si="12"/>
        <v>3.9999999999992042E-2</v>
      </c>
      <c r="G51" s="42">
        <f t="shared" si="12"/>
        <v>-2.7999999999991587E-2</v>
      </c>
      <c r="H51" s="42">
        <f t="shared" si="12"/>
        <v>-4.3000000000006366E-2</v>
      </c>
      <c r="I51" s="42">
        <f t="shared" si="12"/>
        <v>-1.4000000000010004E-2</v>
      </c>
      <c r="J51" s="41"/>
      <c r="K51" s="41"/>
      <c r="L51" s="41"/>
      <c r="M51" s="41"/>
      <c r="N51" s="41"/>
      <c r="O51" s="41"/>
      <c r="P51" s="42"/>
      <c r="Q51" s="42">
        <f>Q49-Q45</f>
        <v>8.0000000000097771E-3</v>
      </c>
      <c r="R51" s="42">
        <f t="shared" ref="R51:T52" si="13">R49-R45</f>
        <v>-1.4999999999986358E-2</v>
      </c>
      <c r="S51" s="42">
        <f t="shared" si="13"/>
        <v>-3.0500000000003524E-2</v>
      </c>
      <c r="T51" s="42">
        <f t="shared" si="13"/>
        <v>2.5000000000002132E-2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1.5544041450766599E-2</v>
      </c>
      <c r="C52" s="42">
        <f t="shared" si="12"/>
        <v>5.3106744556714602E-3</v>
      </c>
      <c r="D52" s="42">
        <f t="shared" si="12"/>
        <v>-4.8661800486655693E-3</v>
      </c>
      <c r="E52" s="42">
        <f t="shared" si="12"/>
        <v>1.9661523145842352E-2</v>
      </c>
      <c r="F52" s="42">
        <f t="shared" si="12"/>
        <v>-2.3809523809532607E-2</v>
      </c>
      <c r="G52" s="42">
        <f t="shared" si="12"/>
        <v>1.0416666666671404E-2</v>
      </c>
      <c r="H52" s="42">
        <f t="shared" si="12"/>
        <v>7.9881107189407885E-3</v>
      </c>
      <c r="I52" s="42">
        <f t="shared" si="12"/>
        <v>4.2194092826974838E-3</v>
      </c>
      <c r="K52" s="41"/>
      <c r="L52" s="41"/>
      <c r="M52" s="41"/>
      <c r="N52" s="41"/>
      <c r="O52" s="42"/>
      <c r="P52" s="42"/>
      <c r="Q52" s="42">
        <f>Q50-Q46</f>
        <v>-8.9285714285836093E-3</v>
      </c>
      <c r="R52" s="42">
        <f t="shared" si="13"/>
        <v>1.1278195488714005E-2</v>
      </c>
      <c r="S52" s="42">
        <f t="shared" si="13"/>
        <v>3.2760472610092961E-2</v>
      </c>
      <c r="T52" s="42">
        <f t="shared" si="13"/>
        <v>-0.10204081632653583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8"/>
      <c r="P55" s="1018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1" t="s">
        <v>63</v>
      </c>
      <c r="C56" s="1032"/>
      <c r="D56" s="1032"/>
      <c r="E56" s="1032"/>
      <c r="F56" s="1032"/>
      <c r="G56" s="1032"/>
      <c r="H56" s="1033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22.7</v>
      </c>
      <c r="C60" s="61">
        <v>32.6</v>
      </c>
      <c r="D60" s="61">
        <v>42.2</v>
      </c>
      <c r="E60" s="61">
        <v>40.700000000000003</v>
      </c>
      <c r="F60" s="61">
        <v>51</v>
      </c>
      <c r="G60" s="94">
        <v>14</v>
      </c>
      <c r="H60" s="264">
        <f t="shared" ref="H60:H65" si="14">SUM(B60:G60)</f>
        <v>203.2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23.8</v>
      </c>
      <c r="C61" s="61">
        <v>34.200000000000003</v>
      </c>
      <c r="D61" s="61">
        <v>44.5</v>
      </c>
      <c r="E61" s="61">
        <v>42.9</v>
      </c>
      <c r="F61" s="61">
        <v>53.7</v>
      </c>
      <c r="G61" s="94">
        <v>14.1</v>
      </c>
      <c r="H61" s="264">
        <f t="shared" si="14"/>
        <v>213.20000000000002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23.8</v>
      </c>
      <c r="C62" s="61">
        <v>34.299999999999997</v>
      </c>
      <c r="D62" s="61">
        <v>44.5</v>
      </c>
      <c r="E62" s="61">
        <v>42.8</v>
      </c>
      <c r="F62" s="61">
        <v>53.7</v>
      </c>
      <c r="G62" s="94">
        <v>14.1</v>
      </c>
      <c r="H62" s="264">
        <f t="shared" si="14"/>
        <v>213.19999999999996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23.8</v>
      </c>
      <c r="C64" s="61">
        <v>34.299999999999997</v>
      </c>
      <c r="D64" s="61">
        <v>44.5</v>
      </c>
      <c r="E64" s="61">
        <v>42.8</v>
      </c>
      <c r="F64" s="61">
        <v>53.7</v>
      </c>
      <c r="G64" s="94">
        <v>14.1</v>
      </c>
      <c r="H64" s="264">
        <f t="shared" si="14"/>
        <v>213.19999999999996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23.8</v>
      </c>
      <c r="C65" s="269">
        <v>34.299999999999997</v>
      </c>
      <c r="D65" s="269">
        <v>44.6</v>
      </c>
      <c r="E65" s="269">
        <v>42.8</v>
      </c>
      <c r="F65" s="269">
        <v>53.7</v>
      </c>
      <c r="G65" s="318">
        <v>14.2</v>
      </c>
      <c r="H65" s="265">
        <f t="shared" si="14"/>
        <v>213.39999999999998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117.89999999999999</v>
      </c>
      <c r="C66" s="120">
        <f t="shared" si="15"/>
        <v>169.7</v>
      </c>
      <c r="D66" s="120">
        <f t="shared" si="15"/>
        <v>220.29999999999998</v>
      </c>
      <c r="E66" s="120">
        <f t="shared" si="15"/>
        <v>212</v>
      </c>
      <c r="F66" s="120">
        <f t="shared" si="15"/>
        <v>265.8</v>
      </c>
      <c r="G66" s="121">
        <f t="shared" si="15"/>
        <v>70.5</v>
      </c>
      <c r="H66" s="263">
        <f t="shared" si="15"/>
        <v>1056.1999999999998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91.5</v>
      </c>
      <c r="C67" s="24">
        <v>91.5</v>
      </c>
      <c r="D67" s="24">
        <v>91.5</v>
      </c>
      <c r="E67" s="24">
        <v>91.5</v>
      </c>
      <c r="F67" s="24">
        <v>91.5</v>
      </c>
      <c r="G67" s="24">
        <v>91.5</v>
      </c>
      <c r="H67" s="128">
        <f>+((H66/H68)/7)*1000</f>
        <v>91.50134280516329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279">
        <v>110</v>
      </c>
      <c r="H68" s="276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23.788</v>
      </c>
      <c r="C69" s="30">
        <f t="shared" si="16"/>
        <v>34.283124999999998</v>
      </c>
      <c r="D69" s="30">
        <f t="shared" si="16"/>
        <v>44.533000000000001</v>
      </c>
      <c r="E69" s="30">
        <f t="shared" si="16"/>
        <v>42.826374999999999</v>
      </c>
      <c r="F69" s="30">
        <f t="shared" si="16"/>
        <v>53.701875000000001</v>
      </c>
      <c r="G69" s="30">
        <f t="shared" si="16"/>
        <v>14.11375</v>
      </c>
      <c r="H69" s="130">
        <f>((H66*1000)/H68)/7</f>
        <v>91.50134280516329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117.852</v>
      </c>
      <c r="C70" s="282">
        <f t="shared" si="17"/>
        <v>169.73249999999999</v>
      </c>
      <c r="D70" s="282">
        <f t="shared" si="17"/>
        <v>220.33199999999999</v>
      </c>
      <c r="E70" s="282">
        <f t="shared" si="17"/>
        <v>212.00550000000001</v>
      </c>
      <c r="F70" s="282">
        <f t="shared" si="17"/>
        <v>265.8075</v>
      </c>
      <c r="G70" s="284">
        <f t="shared" si="17"/>
        <v>70.454999999999998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91.537267080745352</v>
      </c>
      <c r="C71" s="38">
        <f t="shared" si="18"/>
        <v>91.482479784366561</v>
      </c>
      <c r="D71" s="38">
        <f t="shared" si="18"/>
        <v>91.486710963455153</v>
      </c>
      <c r="E71" s="38">
        <f t="shared" si="18"/>
        <v>91.497626240828666</v>
      </c>
      <c r="F71" s="38">
        <f t="shared" si="18"/>
        <v>91.497418244406205</v>
      </c>
      <c r="G71" s="39">
        <f t="shared" si="18"/>
        <v>91.558441558441544</v>
      </c>
      <c r="H71" s="40"/>
      <c r="V71" s="3"/>
    </row>
    <row r="72" spans="1:33" ht="33.75" customHeight="1" x14ac:dyDescent="0.25">
      <c r="B72" s="42">
        <f>B70-B66</f>
        <v>-4.7999999999987608E-2</v>
      </c>
      <c r="C72" s="42">
        <f t="shared" ref="C72:G73" si="19">C70-C66</f>
        <v>3.2499999999998863E-2</v>
      </c>
      <c r="D72" s="42">
        <f t="shared" si="19"/>
        <v>3.2000000000010687E-2</v>
      </c>
      <c r="E72" s="42">
        <f t="shared" si="19"/>
        <v>5.5000000000120508E-3</v>
      </c>
      <c r="F72" s="42">
        <f t="shared" si="19"/>
        <v>7.4999999999931788E-3</v>
      </c>
      <c r="G72" s="42">
        <f t="shared" si="19"/>
        <v>-4.5000000000001705E-2</v>
      </c>
    </row>
    <row r="73" spans="1:33" ht="33.75" customHeight="1" x14ac:dyDescent="0.25">
      <c r="B73" s="42">
        <f>B71-B67</f>
        <v>3.7267080745351677E-2</v>
      </c>
      <c r="C73" s="42">
        <f t="shared" si="19"/>
        <v>-1.7520215633439307E-2</v>
      </c>
      <c r="D73" s="42">
        <f t="shared" si="19"/>
        <v>-1.3289036544847477E-2</v>
      </c>
      <c r="E73" s="42">
        <f t="shared" si="19"/>
        <v>-2.3737591713341999E-3</v>
      </c>
      <c r="F73" s="42">
        <f t="shared" si="19"/>
        <v>-2.58175559379481E-3</v>
      </c>
      <c r="G73" s="42">
        <f t="shared" si="19"/>
        <v>5.8441558441543862E-2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H56"/>
    <mergeCell ref="B15:K15"/>
    <mergeCell ref="L15:P15"/>
    <mergeCell ref="Q15:Y15"/>
    <mergeCell ref="B35:J35"/>
    <mergeCell ref="Q35:U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1"/>
  <dimension ref="A1:AK243"/>
  <sheetViews>
    <sheetView topLeftCell="K22" zoomScale="30" zoomScaleNormal="30" workbookViewId="0">
      <selection activeCell="B68" sqref="B68:G68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76</v>
      </c>
      <c r="Q11" s="1022"/>
      <c r="R11" s="6"/>
      <c r="S11" s="6"/>
      <c r="T11" s="1"/>
      <c r="U11" s="1"/>
      <c r="V11" s="1" t="s">
        <v>6</v>
      </c>
      <c r="W11" s="95">
        <v>45490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1"/>
      <c r="M14" s="1041"/>
      <c r="N14" s="1041"/>
      <c r="O14" s="1041"/>
      <c r="P14" s="1041"/>
      <c r="Q14" s="1041"/>
      <c r="R14" s="1041"/>
      <c r="S14" s="1041"/>
      <c r="T14" s="1041"/>
      <c r="U14" s="1041"/>
      <c r="V14" s="1041"/>
      <c r="W14" s="1041"/>
      <c r="X14" s="1041"/>
      <c r="Y14" s="1041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1025" t="s">
        <v>63</v>
      </c>
      <c r="M15" s="1026"/>
      <c r="N15" s="1026"/>
      <c r="O15" s="1026"/>
      <c r="P15" s="1030"/>
      <c r="Q15" s="1038" t="s">
        <v>8</v>
      </c>
      <c r="R15" s="1028"/>
      <c r="S15" s="1028"/>
      <c r="T15" s="1028"/>
      <c r="U15" s="1028"/>
      <c r="V15" s="1028"/>
      <c r="W15" s="1028"/>
      <c r="X15" s="1028"/>
      <c r="Y15" s="1028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59.9</v>
      </c>
      <c r="C18" s="345">
        <v>38.299999999999997</v>
      </c>
      <c r="D18" s="345">
        <v>38.200000000000003</v>
      </c>
      <c r="E18" s="345">
        <v>32.700000000000003</v>
      </c>
      <c r="F18" s="345">
        <v>20.9</v>
      </c>
      <c r="G18" s="345">
        <v>25.9</v>
      </c>
      <c r="H18" s="345">
        <v>46.5</v>
      </c>
      <c r="I18" s="345">
        <v>70.2</v>
      </c>
      <c r="J18" s="345">
        <v>57.8</v>
      </c>
      <c r="K18" s="354">
        <v>29.2</v>
      </c>
      <c r="L18" s="348">
        <v>29</v>
      </c>
      <c r="M18" s="345">
        <v>29</v>
      </c>
      <c r="N18" s="345">
        <v>41.9</v>
      </c>
      <c r="O18" s="345">
        <v>52.3</v>
      </c>
      <c r="P18" s="353">
        <v>50.6</v>
      </c>
      <c r="Q18" s="341">
        <v>50.2</v>
      </c>
      <c r="R18" s="342">
        <v>75.7</v>
      </c>
      <c r="S18" s="342">
        <v>36.5</v>
      </c>
      <c r="T18" s="342">
        <v>31.6</v>
      </c>
      <c r="U18" s="342">
        <v>25.3</v>
      </c>
      <c r="V18" s="342">
        <v>50.7</v>
      </c>
      <c r="W18" s="342">
        <v>51.1</v>
      </c>
      <c r="X18" s="343">
        <v>50.9</v>
      </c>
      <c r="Y18" s="344">
        <v>62</v>
      </c>
      <c r="Z18" s="98">
        <f t="shared" ref="Z18:Z24" si="0">SUM(B18:Y18)</f>
        <v>1056.4000000000001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59.9</v>
      </c>
      <c r="C19" s="282">
        <v>38.299999999999997</v>
      </c>
      <c r="D19" s="282">
        <v>38.200000000000003</v>
      </c>
      <c r="E19" s="282">
        <v>32.700000000000003</v>
      </c>
      <c r="F19" s="282">
        <v>20.9</v>
      </c>
      <c r="G19" s="282">
        <v>25.9</v>
      </c>
      <c r="H19" s="282">
        <v>46.5</v>
      </c>
      <c r="I19" s="282">
        <v>70.2</v>
      </c>
      <c r="J19" s="282">
        <v>57.8</v>
      </c>
      <c r="K19" s="283">
        <v>29.2</v>
      </c>
      <c r="L19" s="281">
        <v>29</v>
      </c>
      <c r="M19" s="282">
        <v>29</v>
      </c>
      <c r="N19" s="282">
        <v>41.9</v>
      </c>
      <c r="O19" s="282">
        <v>52.3</v>
      </c>
      <c r="P19" s="284">
        <v>50.6</v>
      </c>
      <c r="Q19" s="341">
        <v>50.2</v>
      </c>
      <c r="R19" s="342">
        <v>75.7</v>
      </c>
      <c r="S19" s="342">
        <v>36.5</v>
      </c>
      <c r="T19" s="342">
        <v>31.6</v>
      </c>
      <c r="U19" s="342">
        <v>25.3</v>
      </c>
      <c r="V19" s="342">
        <v>50.7</v>
      </c>
      <c r="W19" s="342">
        <v>51.1</v>
      </c>
      <c r="X19" s="343">
        <v>50.9</v>
      </c>
      <c r="Y19" s="344">
        <v>62</v>
      </c>
      <c r="Z19" s="98">
        <f t="shared" si="0"/>
        <v>1056.4000000000001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69.099999999999994</v>
      </c>
      <c r="C20" s="19">
        <v>44.3</v>
      </c>
      <c r="D20" s="19">
        <v>43.6</v>
      </c>
      <c r="E20" s="19">
        <v>37.4</v>
      </c>
      <c r="F20" s="19">
        <v>24</v>
      </c>
      <c r="G20" s="19">
        <v>29.7</v>
      </c>
      <c r="H20" s="19">
        <v>53.2</v>
      </c>
      <c r="I20" s="19">
        <v>80.400000000000006</v>
      </c>
      <c r="J20" s="19">
        <v>67.099999999999994</v>
      </c>
      <c r="K20" s="104">
        <v>33.6</v>
      </c>
      <c r="L20" s="18">
        <v>33.200000000000003</v>
      </c>
      <c r="M20" s="19">
        <v>33.4</v>
      </c>
      <c r="N20" s="19">
        <v>48.3</v>
      </c>
      <c r="O20" s="19">
        <v>60.5</v>
      </c>
      <c r="P20" s="20">
        <v>58.3</v>
      </c>
      <c r="Q20" s="61">
        <v>57.6</v>
      </c>
      <c r="R20" s="19">
        <v>86.6</v>
      </c>
      <c r="S20" s="19">
        <v>41.5</v>
      </c>
      <c r="T20" s="19">
        <v>35.799999999999997</v>
      </c>
      <c r="U20" s="19">
        <v>29</v>
      </c>
      <c r="V20" s="19">
        <v>58</v>
      </c>
      <c r="W20" s="19">
        <v>58.5</v>
      </c>
      <c r="X20" s="104">
        <v>58.8</v>
      </c>
      <c r="Y20" s="20">
        <v>71.099999999999994</v>
      </c>
      <c r="Z20" s="98">
        <f t="shared" si="0"/>
        <v>1212.9999999999998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69.099999999999994</v>
      </c>
      <c r="C21" s="19">
        <v>44.3</v>
      </c>
      <c r="D21" s="19">
        <v>43.7</v>
      </c>
      <c r="E21" s="19">
        <v>37.4</v>
      </c>
      <c r="F21" s="19">
        <v>24</v>
      </c>
      <c r="G21" s="19">
        <v>29.8</v>
      </c>
      <c r="H21" s="19">
        <v>53.2</v>
      </c>
      <c r="I21" s="19">
        <v>80.400000000000006</v>
      </c>
      <c r="J21" s="19">
        <v>67.099999999999994</v>
      </c>
      <c r="K21" s="104">
        <v>33.6</v>
      </c>
      <c r="L21" s="18">
        <v>33.200000000000003</v>
      </c>
      <c r="M21" s="19">
        <v>33.4</v>
      </c>
      <c r="N21" s="19">
        <v>48.4</v>
      </c>
      <c r="O21" s="19">
        <v>60.5</v>
      </c>
      <c r="P21" s="20">
        <v>58.4</v>
      </c>
      <c r="Q21" s="61">
        <v>57.6</v>
      </c>
      <c r="R21" s="19">
        <v>86.6</v>
      </c>
      <c r="S21" s="19">
        <v>41.5</v>
      </c>
      <c r="T21" s="19">
        <v>35.799999999999997</v>
      </c>
      <c r="U21" s="19">
        <v>29</v>
      </c>
      <c r="V21" s="19">
        <v>58</v>
      </c>
      <c r="W21" s="19">
        <v>58.5</v>
      </c>
      <c r="X21" s="104">
        <v>58.8</v>
      </c>
      <c r="Y21" s="20">
        <v>71.2</v>
      </c>
      <c r="Z21" s="98">
        <f t="shared" si="0"/>
        <v>1213.5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69.099999999999994</v>
      </c>
      <c r="C23" s="19">
        <v>44.3</v>
      </c>
      <c r="D23" s="19">
        <v>43.7</v>
      </c>
      <c r="E23" s="19">
        <v>37.4</v>
      </c>
      <c r="F23" s="19">
        <v>24</v>
      </c>
      <c r="G23" s="19">
        <v>29.8</v>
      </c>
      <c r="H23" s="19">
        <v>53.2</v>
      </c>
      <c r="I23" s="19">
        <v>80.400000000000006</v>
      </c>
      <c r="J23" s="19">
        <v>67.099999999999994</v>
      </c>
      <c r="K23" s="104">
        <v>33.6</v>
      </c>
      <c r="L23" s="18">
        <v>33.299999999999997</v>
      </c>
      <c r="M23" s="19">
        <v>33.4</v>
      </c>
      <c r="N23" s="19">
        <v>48.4</v>
      </c>
      <c r="O23" s="19">
        <v>60.5</v>
      </c>
      <c r="P23" s="20">
        <v>58.4</v>
      </c>
      <c r="Q23" s="61">
        <v>57.7</v>
      </c>
      <c r="R23" s="19">
        <v>86.6</v>
      </c>
      <c r="S23" s="19">
        <v>41.6</v>
      </c>
      <c r="T23" s="19">
        <v>35.799999999999997</v>
      </c>
      <c r="U23" s="19">
        <v>29</v>
      </c>
      <c r="V23" s="19">
        <v>58</v>
      </c>
      <c r="W23" s="19">
        <v>58.6</v>
      </c>
      <c r="X23" s="104">
        <v>58.8</v>
      </c>
      <c r="Y23" s="20">
        <v>71.2</v>
      </c>
      <c r="Z23" s="98">
        <f t="shared" si="0"/>
        <v>1213.8999999999999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69.2</v>
      </c>
      <c r="C24" s="227">
        <v>44.3</v>
      </c>
      <c r="D24" s="227">
        <v>43.7</v>
      </c>
      <c r="E24" s="227">
        <v>37.4</v>
      </c>
      <c r="F24" s="227">
        <v>24</v>
      </c>
      <c r="G24" s="227">
        <v>29.8</v>
      </c>
      <c r="H24" s="227">
        <v>53.2</v>
      </c>
      <c r="I24" s="227">
        <v>80.400000000000006</v>
      </c>
      <c r="J24" s="227">
        <v>67.099999999999994</v>
      </c>
      <c r="K24" s="325">
        <v>33.6</v>
      </c>
      <c r="L24" s="266">
        <v>33.299999999999997</v>
      </c>
      <c r="M24" s="19">
        <v>33.5</v>
      </c>
      <c r="N24" s="267">
        <v>48.4</v>
      </c>
      <c r="O24" s="267">
        <v>60.6</v>
      </c>
      <c r="P24" s="123">
        <v>58.4</v>
      </c>
      <c r="Q24" s="61">
        <v>57.7</v>
      </c>
      <c r="R24" s="227">
        <v>86.7</v>
      </c>
      <c r="S24" s="227">
        <v>41.6</v>
      </c>
      <c r="T24" s="227">
        <v>35.9</v>
      </c>
      <c r="U24" s="227">
        <v>29</v>
      </c>
      <c r="V24" s="227">
        <v>58.1</v>
      </c>
      <c r="W24" s="19">
        <v>58.6</v>
      </c>
      <c r="X24" s="325">
        <v>58.8</v>
      </c>
      <c r="Y24" s="228">
        <v>71.2</v>
      </c>
      <c r="Z24" s="330">
        <f t="shared" si="0"/>
        <v>1214.5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396.3</v>
      </c>
      <c r="C25" s="201">
        <f>SUM(C18:C24)</f>
        <v>253.8</v>
      </c>
      <c r="D25" s="201">
        <f t="shared" ref="D25:Y25" si="1">SUM(D18:D24)</f>
        <v>251.09999999999997</v>
      </c>
      <c r="E25" s="201">
        <f t="shared" si="1"/>
        <v>215.00000000000003</v>
      </c>
      <c r="F25" s="201">
        <f t="shared" si="1"/>
        <v>137.80000000000001</v>
      </c>
      <c r="G25" s="201">
        <f t="shared" si="1"/>
        <v>170.9</v>
      </c>
      <c r="H25" s="201">
        <f t="shared" si="1"/>
        <v>305.79999999999995</v>
      </c>
      <c r="I25" s="201">
        <f t="shared" si="1"/>
        <v>462</v>
      </c>
      <c r="J25" s="201">
        <f t="shared" si="1"/>
        <v>384</v>
      </c>
      <c r="K25" s="229">
        <f t="shared" si="1"/>
        <v>192.79999999999998</v>
      </c>
      <c r="L25" s="122">
        <f t="shared" si="1"/>
        <v>191</v>
      </c>
      <c r="M25" s="120">
        <f t="shared" si="1"/>
        <v>191.70000000000002</v>
      </c>
      <c r="N25" s="120">
        <f t="shared" si="1"/>
        <v>277.3</v>
      </c>
      <c r="O25" s="120">
        <f t="shared" si="1"/>
        <v>346.70000000000005</v>
      </c>
      <c r="P25" s="121">
        <f t="shared" si="1"/>
        <v>334.7</v>
      </c>
      <c r="Q25" s="119">
        <f t="shared" si="1"/>
        <v>331</v>
      </c>
      <c r="R25" s="120">
        <f t="shared" si="1"/>
        <v>497.90000000000003</v>
      </c>
      <c r="S25" s="120">
        <f t="shared" si="1"/>
        <v>239.2</v>
      </c>
      <c r="T25" s="120">
        <f t="shared" si="1"/>
        <v>206.50000000000003</v>
      </c>
      <c r="U25" s="120">
        <f t="shared" si="1"/>
        <v>166.6</v>
      </c>
      <c r="V25" s="120">
        <f t="shared" si="1"/>
        <v>333.5</v>
      </c>
      <c r="W25" s="120">
        <f t="shared" si="1"/>
        <v>336.40000000000003</v>
      </c>
      <c r="X25" s="268">
        <f t="shared" si="1"/>
        <v>337</v>
      </c>
      <c r="Y25" s="121">
        <f t="shared" si="1"/>
        <v>408.7</v>
      </c>
      <c r="Z25" s="326">
        <f>SUM(Z18:Z24)</f>
        <v>6967.7</v>
      </c>
      <c r="AB25" s="42"/>
    </row>
    <row r="26" spans="1:37" s="2" customFormat="1" ht="36.75" customHeight="1" x14ac:dyDescent="0.25">
      <c r="A26" s="148" t="s">
        <v>11</v>
      </c>
      <c r="B26" s="23">
        <v>84.5</v>
      </c>
      <c r="C26" s="24">
        <v>85.5</v>
      </c>
      <c r="D26" s="24">
        <v>85</v>
      </c>
      <c r="E26" s="24">
        <v>86.5</v>
      </c>
      <c r="F26" s="24">
        <v>87.5</v>
      </c>
      <c r="G26" s="24">
        <v>87.5</v>
      </c>
      <c r="H26" s="24">
        <v>86</v>
      </c>
      <c r="I26" s="24">
        <v>84.5</v>
      </c>
      <c r="J26" s="24">
        <v>83</v>
      </c>
      <c r="K26" s="155">
        <v>81.5</v>
      </c>
      <c r="L26" s="23">
        <v>85</v>
      </c>
      <c r="M26" s="24">
        <v>81.5</v>
      </c>
      <c r="N26" s="24">
        <v>81</v>
      </c>
      <c r="O26" s="24">
        <v>77.5</v>
      </c>
      <c r="P26" s="25">
        <v>80.5</v>
      </c>
      <c r="Q26" s="63">
        <v>84</v>
      </c>
      <c r="R26" s="24">
        <v>86</v>
      </c>
      <c r="S26" s="24">
        <v>89</v>
      </c>
      <c r="T26" s="24">
        <v>90.5</v>
      </c>
      <c r="U26" s="24">
        <v>87.5</v>
      </c>
      <c r="V26" s="24">
        <v>86</v>
      </c>
      <c r="W26" s="24">
        <v>85.5</v>
      </c>
      <c r="X26" s="155">
        <v>85.5</v>
      </c>
      <c r="Y26" s="25">
        <v>82</v>
      </c>
      <c r="Z26" s="327">
        <f>((Z25/Z27)/7)*1000</f>
        <v>84.31899316270345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639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272</v>
      </c>
      <c r="V27" s="27">
        <v>554</v>
      </c>
      <c r="W27" s="27">
        <v>562</v>
      </c>
      <c r="X27" s="156">
        <v>563</v>
      </c>
      <c r="Y27" s="28">
        <v>712</v>
      </c>
      <c r="Z27" s="328">
        <f>SUM(B27:Y27)</f>
        <v>11805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69.126249999999999</v>
      </c>
      <c r="C28" s="30">
        <f t="shared" ref="C28:Y28" si="2">((((C26*7)*C27)/1000)-(C18+C19))/4</f>
        <v>44.291000000000004</v>
      </c>
      <c r="D28" s="30">
        <f t="shared" si="2"/>
        <v>43.672499999999999</v>
      </c>
      <c r="E28" s="30">
        <f t="shared" si="2"/>
        <v>37.388124999999995</v>
      </c>
      <c r="F28" s="30">
        <f t="shared" si="2"/>
        <v>24.003125000000001</v>
      </c>
      <c r="G28" s="30">
        <f t="shared" si="2"/>
        <v>29.771874999999998</v>
      </c>
      <c r="H28" s="30">
        <f t="shared" si="2"/>
        <v>53.203999999999994</v>
      </c>
      <c r="I28" s="30">
        <f t="shared" si="2"/>
        <v>80.390375000000006</v>
      </c>
      <c r="J28" s="30">
        <f t="shared" si="2"/>
        <v>67.110250000000008</v>
      </c>
      <c r="K28" s="30">
        <f t="shared" si="2"/>
        <v>33.607250000000001</v>
      </c>
      <c r="L28" s="30">
        <f t="shared" si="2"/>
        <v>33.248750000000001</v>
      </c>
      <c r="M28" s="30">
        <f t="shared" si="2"/>
        <v>33.421999999999997</v>
      </c>
      <c r="N28" s="30">
        <f t="shared" si="2"/>
        <v>48.365749999999991</v>
      </c>
      <c r="O28" s="30">
        <f t="shared" si="2"/>
        <v>60.514375000000008</v>
      </c>
      <c r="P28" s="30">
        <f t="shared" si="2"/>
        <v>58.379750000000001</v>
      </c>
      <c r="Q28" s="30">
        <f t="shared" si="2"/>
        <v>57.660999999999994</v>
      </c>
      <c r="R28" s="30">
        <f t="shared" si="2"/>
        <v>86.613499999999988</v>
      </c>
      <c r="S28" s="30">
        <f t="shared" si="2"/>
        <v>41.558</v>
      </c>
      <c r="T28" s="30">
        <f t="shared" si="2"/>
        <v>35.830249999999992</v>
      </c>
      <c r="U28" s="30">
        <f t="shared" si="2"/>
        <v>29</v>
      </c>
      <c r="V28" s="30">
        <f t="shared" si="2"/>
        <v>58.026999999999994</v>
      </c>
      <c r="W28" s="30">
        <f t="shared" si="2"/>
        <v>58.53925000000001</v>
      </c>
      <c r="X28" s="30">
        <f t="shared" si="2"/>
        <v>58.78887499999999</v>
      </c>
      <c r="Y28" s="30">
        <f t="shared" si="2"/>
        <v>71.171999999999997</v>
      </c>
      <c r="Z28" s="329">
        <f>((Z25*1000)/7)/Z27</f>
        <v>84.318993162703464</v>
      </c>
      <c r="AB28" s="43"/>
    </row>
    <row r="29" spans="1:37" ht="33.75" customHeight="1" x14ac:dyDescent="0.25">
      <c r="A29" s="151" t="s">
        <v>14</v>
      </c>
      <c r="B29" s="281">
        <f>((B27*B26)*7)/1000</f>
        <v>396.30500000000001</v>
      </c>
      <c r="C29" s="282">
        <f>((C27*C26)*7)/1000</f>
        <v>253.76400000000001</v>
      </c>
      <c r="D29" s="282">
        <f t="shared" ref="D29:Y29" si="3">((D27*D26)*7)/1000</f>
        <v>251.09</v>
      </c>
      <c r="E29" s="282">
        <f t="shared" si="3"/>
        <v>214.95249999999999</v>
      </c>
      <c r="F29" s="282">
        <f t="shared" si="3"/>
        <v>137.8125</v>
      </c>
      <c r="G29" s="282">
        <f t="shared" si="3"/>
        <v>170.88749999999999</v>
      </c>
      <c r="H29" s="282">
        <f t="shared" si="3"/>
        <v>305.81599999999997</v>
      </c>
      <c r="I29" s="282">
        <f t="shared" si="3"/>
        <v>461.9615</v>
      </c>
      <c r="J29" s="282">
        <f t="shared" si="3"/>
        <v>384.041</v>
      </c>
      <c r="K29" s="283">
        <f t="shared" si="3"/>
        <v>192.82900000000001</v>
      </c>
      <c r="L29" s="281">
        <f t="shared" si="3"/>
        <v>190.995</v>
      </c>
      <c r="M29" s="282">
        <f t="shared" si="3"/>
        <v>191.68799999999999</v>
      </c>
      <c r="N29" s="282">
        <f t="shared" si="3"/>
        <v>277.26299999999998</v>
      </c>
      <c r="O29" s="282">
        <f t="shared" si="3"/>
        <v>346.65750000000003</v>
      </c>
      <c r="P29" s="284">
        <f t="shared" si="3"/>
        <v>334.71899999999999</v>
      </c>
      <c r="Q29" s="285">
        <f t="shared" si="3"/>
        <v>331.04399999999998</v>
      </c>
      <c r="R29" s="282">
        <f t="shared" si="3"/>
        <v>497.85399999999998</v>
      </c>
      <c r="S29" s="282">
        <f t="shared" si="3"/>
        <v>239.232</v>
      </c>
      <c r="T29" s="282">
        <f t="shared" si="3"/>
        <v>206.52099999999999</v>
      </c>
      <c r="U29" s="282">
        <f t="shared" si="3"/>
        <v>166.6</v>
      </c>
      <c r="V29" s="282">
        <f t="shared" si="3"/>
        <v>333.50799999999998</v>
      </c>
      <c r="W29" s="282">
        <f t="shared" si="3"/>
        <v>336.35700000000003</v>
      </c>
      <c r="X29" s="283">
        <f t="shared" si="3"/>
        <v>336.95549999999997</v>
      </c>
      <c r="Y29" s="284">
        <f t="shared" si="3"/>
        <v>408.68799999999999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84.498933901918988</v>
      </c>
      <c r="C30" s="38">
        <f t="shared" ref="C30:Y30" si="4">+(C25/C27)/7*1000</f>
        <v>85.512129380053906</v>
      </c>
      <c r="D30" s="38">
        <f t="shared" si="4"/>
        <v>85.003385240352046</v>
      </c>
      <c r="E30" s="38">
        <f t="shared" si="4"/>
        <v>86.519114688128781</v>
      </c>
      <c r="F30" s="38">
        <f t="shared" si="4"/>
        <v>87.492063492063494</v>
      </c>
      <c r="G30" s="38">
        <f t="shared" si="4"/>
        <v>87.506400409626224</v>
      </c>
      <c r="H30" s="38">
        <f t="shared" si="4"/>
        <v>85.995500562429669</v>
      </c>
      <c r="I30" s="38">
        <f t="shared" si="4"/>
        <v>84.507042253521121</v>
      </c>
      <c r="J30" s="38">
        <f t="shared" si="4"/>
        <v>82.991138966933221</v>
      </c>
      <c r="K30" s="158">
        <f t="shared" si="4"/>
        <v>81.487743026204555</v>
      </c>
      <c r="L30" s="37">
        <f t="shared" si="4"/>
        <v>85.002225189141058</v>
      </c>
      <c r="M30" s="38">
        <f t="shared" si="4"/>
        <v>81.505102040816325</v>
      </c>
      <c r="N30" s="38">
        <f t="shared" si="4"/>
        <v>81.010809231668134</v>
      </c>
      <c r="O30" s="38">
        <f t="shared" si="4"/>
        <v>77.509501453163452</v>
      </c>
      <c r="P30" s="39">
        <f t="shared" si="4"/>
        <v>80.495430495430497</v>
      </c>
      <c r="Q30" s="67">
        <f t="shared" si="4"/>
        <v>83.988835320984535</v>
      </c>
      <c r="R30" s="38">
        <f t="shared" si="4"/>
        <v>86.007946104681309</v>
      </c>
      <c r="S30" s="38">
        <f t="shared" si="4"/>
        <v>88.988095238095241</v>
      </c>
      <c r="T30" s="38">
        <f t="shared" si="4"/>
        <v>90.490797546012288</v>
      </c>
      <c r="U30" s="38">
        <f t="shared" si="4"/>
        <v>87.5</v>
      </c>
      <c r="V30" s="38">
        <f t="shared" si="4"/>
        <v>85.997937080969578</v>
      </c>
      <c r="W30" s="38">
        <f t="shared" si="4"/>
        <v>85.510930350788016</v>
      </c>
      <c r="X30" s="158">
        <f t="shared" si="4"/>
        <v>85.511291550367929</v>
      </c>
      <c r="Y30" s="39">
        <f t="shared" si="4"/>
        <v>82.0024077046549</v>
      </c>
      <c r="Z30" s="237"/>
      <c r="AB30" s="42"/>
    </row>
    <row r="31" spans="1:37" ht="33.75" customHeight="1" x14ac:dyDescent="0.25">
      <c r="A31" s="41"/>
      <c r="B31" s="42">
        <f>B29-B25</f>
        <v>4.9999999999954525E-3</v>
      </c>
      <c r="C31" s="42">
        <f t="shared" ref="C31:Y32" si="5">C29-C25</f>
        <v>-3.6000000000001364E-2</v>
      </c>
      <c r="D31" s="42">
        <f t="shared" si="5"/>
        <v>-9.9999999999624833E-3</v>
      </c>
      <c r="E31" s="42">
        <f t="shared" si="5"/>
        <v>-4.7500000000042064E-2</v>
      </c>
      <c r="F31" s="42">
        <f t="shared" si="5"/>
        <v>1.2499999999988631E-2</v>
      </c>
      <c r="G31" s="42">
        <f t="shared" si="5"/>
        <v>-1.2500000000017053E-2</v>
      </c>
      <c r="H31" s="42">
        <f t="shared" si="5"/>
        <v>1.6000000000019554E-2</v>
      </c>
      <c r="I31" s="42">
        <f t="shared" si="5"/>
        <v>-3.8499999999999091E-2</v>
      </c>
      <c r="J31" s="42">
        <f t="shared" si="5"/>
        <v>4.0999999999996817E-2</v>
      </c>
      <c r="K31" s="42">
        <f t="shared" si="5"/>
        <v>2.9000000000024784E-2</v>
      </c>
      <c r="L31" s="42">
        <f t="shared" si="5"/>
        <v>-4.9999999999954525E-3</v>
      </c>
      <c r="M31" s="42">
        <f t="shared" si="5"/>
        <v>-1.2000000000028876E-2</v>
      </c>
      <c r="N31" s="42">
        <f t="shared" si="5"/>
        <v>-3.7000000000034561E-2</v>
      </c>
      <c r="O31" s="42">
        <f t="shared" si="5"/>
        <v>-4.250000000001819E-2</v>
      </c>
      <c r="P31" s="42">
        <f t="shared" si="5"/>
        <v>1.9000000000005457E-2</v>
      </c>
      <c r="Q31" s="42">
        <f t="shared" si="5"/>
        <v>4.399999999998272E-2</v>
      </c>
      <c r="R31" s="42">
        <f t="shared" si="5"/>
        <v>-4.6000000000049113E-2</v>
      </c>
      <c r="S31" s="42">
        <f t="shared" si="5"/>
        <v>3.2000000000010687E-2</v>
      </c>
      <c r="T31" s="42">
        <f t="shared" si="5"/>
        <v>2.0999999999958163E-2</v>
      </c>
      <c r="U31" s="42">
        <f t="shared" si="5"/>
        <v>0</v>
      </c>
      <c r="V31" s="42">
        <f t="shared" si="5"/>
        <v>7.9999999999813554E-3</v>
      </c>
      <c r="W31" s="42">
        <f t="shared" si="5"/>
        <v>-4.3000000000006366E-2</v>
      </c>
      <c r="X31" s="42">
        <f t="shared" si="5"/>
        <v>-4.450000000002774E-2</v>
      </c>
      <c r="Y31" s="42">
        <f t="shared" si="5"/>
        <v>-1.2000000000000455E-2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-1.0660980810115461E-3</v>
      </c>
      <c r="C32" s="42">
        <f t="shared" si="5"/>
        <v>1.2129380053906402E-2</v>
      </c>
      <c r="D32" s="42">
        <f t="shared" si="5"/>
        <v>3.3852403520455709E-3</v>
      </c>
      <c r="E32" s="42">
        <f t="shared" si="5"/>
        <v>1.9114688128780699E-2</v>
      </c>
      <c r="F32" s="42">
        <f t="shared" si="5"/>
        <v>-7.936507936506132E-3</v>
      </c>
      <c r="G32" s="42">
        <f t="shared" si="5"/>
        <v>6.4004096262237908E-3</v>
      </c>
      <c r="H32" s="42">
        <f t="shared" si="5"/>
        <v>-4.4994375703311107E-3</v>
      </c>
      <c r="I32" s="42">
        <f t="shared" si="5"/>
        <v>7.042253521120756E-3</v>
      </c>
      <c r="J32" s="42">
        <f t="shared" si="5"/>
        <v>-8.8610330667791004E-3</v>
      </c>
      <c r="K32" s="42">
        <f t="shared" si="5"/>
        <v>-1.2256973795444992E-2</v>
      </c>
      <c r="L32" s="42">
        <f t="shared" si="5"/>
        <v>2.2251891410576263E-3</v>
      </c>
      <c r="M32" s="42">
        <f t="shared" si="5"/>
        <v>5.1020408163253705E-3</v>
      </c>
      <c r="N32" s="42">
        <f t="shared" si="5"/>
        <v>1.0809231668133634E-2</v>
      </c>
      <c r="O32" s="42">
        <f t="shared" si="5"/>
        <v>9.5014531634518562E-3</v>
      </c>
      <c r="P32" s="42">
        <f t="shared" si="5"/>
        <v>-4.5695045695026693E-3</v>
      </c>
      <c r="Q32" s="42">
        <f>Q30-Q26</f>
        <v>-1.116467901546514E-2</v>
      </c>
      <c r="R32" s="42">
        <f t="shared" si="5"/>
        <v>7.9461046813094072E-3</v>
      </c>
      <c r="S32" s="42">
        <f t="shared" si="5"/>
        <v>-1.1904761904759198E-2</v>
      </c>
      <c r="T32" s="42">
        <f t="shared" si="5"/>
        <v>-9.2024539877115785E-3</v>
      </c>
      <c r="U32" s="42">
        <f t="shared" si="5"/>
        <v>0</v>
      </c>
      <c r="V32" s="42">
        <f t="shared" si="5"/>
        <v>-2.0629190304219946E-3</v>
      </c>
      <c r="W32" s="42">
        <f t="shared" si="5"/>
        <v>1.093035078801563E-2</v>
      </c>
      <c r="X32" s="42">
        <f t="shared" si="5"/>
        <v>1.1291550367928949E-2</v>
      </c>
      <c r="Y32" s="42">
        <f t="shared" si="5"/>
        <v>2.4077046548995895E-3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5" t="s">
        <v>8</v>
      </c>
      <c r="C35" s="1036"/>
      <c r="D35" s="1036"/>
      <c r="E35" s="1036"/>
      <c r="F35" s="1036"/>
      <c r="G35" s="1036"/>
      <c r="H35" s="1036"/>
      <c r="I35" s="1036"/>
      <c r="J35" s="1037"/>
      <c r="K35" s="244"/>
      <c r="L35" s="42"/>
      <c r="M35" s="42"/>
      <c r="N35" s="42"/>
      <c r="O35" s="44"/>
      <c r="P35" s="88" t="s">
        <v>18</v>
      </c>
      <c r="Q35" s="1031" t="s">
        <v>8</v>
      </c>
      <c r="R35" s="1032"/>
      <c r="S35" s="1032"/>
      <c r="T35" s="1032"/>
      <c r="U35" s="1033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348">
        <v>35.6</v>
      </c>
      <c r="C38" s="345">
        <v>50.2</v>
      </c>
      <c r="D38" s="345">
        <v>39.299999999999997</v>
      </c>
      <c r="E38" s="345">
        <v>28.3</v>
      </c>
      <c r="F38" s="345">
        <v>23.2</v>
      </c>
      <c r="G38" s="345">
        <v>36.5</v>
      </c>
      <c r="H38" s="345">
        <v>70.900000000000006</v>
      </c>
      <c r="I38" s="353">
        <v>42.6</v>
      </c>
      <c r="J38" s="98">
        <f t="shared" ref="J38:J45" si="6">SUM(B38:I38)</f>
        <v>326.60000000000002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13.1</v>
      </c>
      <c r="T38" s="347">
        <v>3.5</v>
      </c>
      <c r="U38" s="264">
        <f>SUM(Q38:T38)</f>
        <v>48.1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35.6</v>
      </c>
      <c r="C39" s="282">
        <v>50.2</v>
      </c>
      <c r="D39" s="282">
        <v>39.299999999999997</v>
      </c>
      <c r="E39" s="282">
        <v>28.3</v>
      </c>
      <c r="F39" s="282">
        <v>23.2</v>
      </c>
      <c r="G39" s="282">
        <v>36.5</v>
      </c>
      <c r="H39" s="282">
        <v>70.900000000000006</v>
      </c>
      <c r="I39" s="284">
        <v>42.6</v>
      </c>
      <c r="J39" s="98">
        <f t="shared" si="6"/>
        <v>326.60000000000002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13.1</v>
      </c>
      <c r="T39" s="347">
        <v>3.5</v>
      </c>
      <c r="U39" s="264">
        <f t="shared" ref="U39:U44" si="7">SUM(Q39:T39)</f>
        <v>48.1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40.299999999999997</v>
      </c>
      <c r="C40" s="19">
        <v>56.8</v>
      </c>
      <c r="D40" s="19">
        <v>44.3</v>
      </c>
      <c r="E40" s="19">
        <v>31.9</v>
      </c>
      <c r="F40" s="19">
        <v>26.2</v>
      </c>
      <c r="G40" s="19">
        <v>41.5</v>
      </c>
      <c r="H40" s="19">
        <v>80.900000000000006</v>
      </c>
      <c r="I40" s="20">
        <v>48.3</v>
      </c>
      <c r="J40" s="98">
        <f t="shared" si="6"/>
        <v>370.2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20.7</v>
      </c>
      <c r="S40" s="19">
        <v>14.5</v>
      </c>
      <c r="T40" s="233">
        <v>3.8</v>
      </c>
      <c r="U40" s="264">
        <f t="shared" si="7"/>
        <v>53.099999999999994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40.299999999999997</v>
      </c>
      <c r="C41" s="19">
        <v>56.8</v>
      </c>
      <c r="D41" s="19">
        <v>44.4</v>
      </c>
      <c r="E41" s="19">
        <v>31.9</v>
      </c>
      <c r="F41" s="19">
        <v>26.2</v>
      </c>
      <c r="G41" s="19">
        <v>41.5</v>
      </c>
      <c r="H41" s="19">
        <v>80.900000000000006</v>
      </c>
      <c r="I41" s="20">
        <v>48.4</v>
      </c>
      <c r="J41" s="98">
        <f t="shared" si="6"/>
        <v>370.4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20.7</v>
      </c>
      <c r="S41" s="19">
        <v>14.5</v>
      </c>
      <c r="T41" s="233">
        <v>3.8</v>
      </c>
      <c r="U41" s="264">
        <f t="shared" si="7"/>
        <v>53.099999999999994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40.299999999999997</v>
      </c>
      <c r="C43" s="19">
        <v>56.8</v>
      </c>
      <c r="D43" s="19">
        <v>44.4</v>
      </c>
      <c r="E43" s="19">
        <v>31.9</v>
      </c>
      <c r="F43" s="19">
        <v>26.3</v>
      </c>
      <c r="G43" s="19">
        <v>41.6</v>
      </c>
      <c r="H43" s="19">
        <v>81</v>
      </c>
      <c r="I43" s="20">
        <v>48.4</v>
      </c>
      <c r="J43" s="98">
        <f t="shared" si="6"/>
        <v>370.7</v>
      </c>
      <c r="K43" s="49"/>
      <c r="L43" s="43"/>
      <c r="M43" s="43"/>
      <c r="N43" s="43"/>
      <c r="O43" s="2"/>
      <c r="P43" s="146" t="s">
        <v>22</v>
      </c>
      <c r="Q43" s="18">
        <v>14.1</v>
      </c>
      <c r="R43" s="19">
        <v>20.8</v>
      </c>
      <c r="S43" s="19">
        <v>14.5</v>
      </c>
      <c r="T43" s="233">
        <v>3.8</v>
      </c>
      <c r="U43" s="264">
        <f t="shared" si="7"/>
        <v>53.199999999999996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66">
        <v>40.299999999999997</v>
      </c>
      <c r="C44" s="267">
        <v>56.8</v>
      </c>
      <c r="D44" s="267">
        <v>44.4</v>
      </c>
      <c r="E44" s="267">
        <v>31.9</v>
      </c>
      <c r="F44" s="267">
        <v>26.3</v>
      </c>
      <c r="G44" s="267">
        <v>41.6</v>
      </c>
      <c r="H44" s="267">
        <v>81</v>
      </c>
      <c r="I44" s="123">
        <v>48.4</v>
      </c>
      <c r="J44" s="272">
        <f t="shared" si="6"/>
        <v>370.7</v>
      </c>
      <c r="K44" s="49"/>
      <c r="L44" s="41"/>
      <c r="M44" s="41"/>
      <c r="N44" s="41"/>
      <c r="O44" s="2"/>
      <c r="P44" s="146" t="s">
        <v>23</v>
      </c>
      <c r="Q44" s="226">
        <v>14.1</v>
      </c>
      <c r="R44" s="227">
        <v>20.8</v>
      </c>
      <c r="S44" s="227">
        <v>14.6</v>
      </c>
      <c r="T44" s="311">
        <v>3.8</v>
      </c>
      <c r="U44" s="265">
        <f t="shared" si="7"/>
        <v>53.3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122">
        <f t="shared" ref="B45:I45" si="8">SUM(B38:B44)</f>
        <v>232.40000000000003</v>
      </c>
      <c r="C45" s="120">
        <f t="shared" si="8"/>
        <v>327.60000000000002</v>
      </c>
      <c r="D45" s="120">
        <f t="shared" si="8"/>
        <v>256.09999999999997</v>
      </c>
      <c r="E45" s="120">
        <f t="shared" si="8"/>
        <v>184.20000000000002</v>
      </c>
      <c r="F45" s="120">
        <f t="shared" si="8"/>
        <v>151.4</v>
      </c>
      <c r="G45" s="120">
        <f t="shared" si="8"/>
        <v>239.2</v>
      </c>
      <c r="H45" s="120">
        <f t="shared" si="8"/>
        <v>465.6</v>
      </c>
      <c r="I45" s="121">
        <f t="shared" si="8"/>
        <v>278.7</v>
      </c>
      <c r="J45" s="252">
        <f t="shared" si="6"/>
        <v>2135.1999999999998</v>
      </c>
      <c r="K45" s="49"/>
      <c r="L45" s="42"/>
      <c r="M45" s="42"/>
      <c r="N45" s="42"/>
      <c r="P45" s="80" t="s">
        <v>9</v>
      </c>
      <c r="Q45" s="200">
        <f>SUM(Q38:Q44)</f>
        <v>82</v>
      </c>
      <c r="R45" s="201">
        <f>SUM(R38:R44)</f>
        <v>120.39999999999999</v>
      </c>
      <c r="S45" s="201">
        <f>SUM(S38:S44)</f>
        <v>84.3</v>
      </c>
      <c r="T45" s="201">
        <f>SUM(T38:T44)</f>
        <v>22.200000000000003</v>
      </c>
      <c r="U45" s="313">
        <f>SUM(Q45:T45)</f>
        <v>308.89999999999998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86</v>
      </c>
      <c r="C46" s="24">
        <v>87</v>
      </c>
      <c r="D46" s="24">
        <v>89</v>
      </c>
      <c r="E46" s="24">
        <v>92</v>
      </c>
      <c r="F46" s="24">
        <v>90.5</v>
      </c>
      <c r="G46" s="24">
        <v>89</v>
      </c>
      <c r="H46" s="24">
        <v>86.5</v>
      </c>
      <c r="I46" s="25">
        <v>84</v>
      </c>
      <c r="J46" s="234">
        <f>+((J45/J47)/7)*1000</f>
        <v>87.475931009054023</v>
      </c>
      <c r="K46" s="50"/>
      <c r="L46" s="49"/>
      <c r="M46" s="49"/>
      <c r="N46" s="49"/>
      <c r="P46" s="93" t="s">
        <v>11</v>
      </c>
      <c r="Q46" s="63">
        <v>91.5</v>
      </c>
      <c r="R46" s="24">
        <v>90.5</v>
      </c>
      <c r="S46" s="24">
        <v>90.5</v>
      </c>
      <c r="T46" s="24">
        <v>90.5</v>
      </c>
      <c r="U46" s="234">
        <f>+((U45/U47)/7)*1000</f>
        <v>90.799529688418559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286</v>
      </c>
      <c r="F47" s="27">
        <v>239</v>
      </c>
      <c r="G47" s="27">
        <v>384</v>
      </c>
      <c r="H47" s="27">
        <v>769</v>
      </c>
      <c r="I47" s="28">
        <v>474</v>
      </c>
      <c r="J47" s="256">
        <f>SUM(B47:I47)</f>
        <v>3487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40.293000000000006</v>
      </c>
      <c r="C48" s="30">
        <f t="shared" ref="C48:I48" si="9">((((C46*7)*C47)/1000)-(C38+C39))/4</f>
        <v>56.810499999999998</v>
      </c>
      <c r="D48" s="30">
        <f t="shared" si="9"/>
        <v>44.363250000000001</v>
      </c>
      <c r="E48" s="30">
        <f t="shared" si="9"/>
        <v>31.896000000000001</v>
      </c>
      <c r="F48" s="30">
        <f t="shared" si="9"/>
        <v>26.251624999999997</v>
      </c>
      <c r="G48" s="30">
        <f t="shared" si="9"/>
        <v>41.558</v>
      </c>
      <c r="H48" s="30">
        <f t="shared" si="9"/>
        <v>80.957374999999999</v>
      </c>
      <c r="I48" s="30">
        <f t="shared" si="9"/>
        <v>48.378</v>
      </c>
      <c r="J48" s="257">
        <f>((J45*1000)/J47)/7</f>
        <v>87.475931009054037</v>
      </c>
      <c r="K48" s="192"/>
      <c r="L48" s="49"/>
      <c r="M48" s="49"/>
      <c r="N48" s="49"/>
      <c r="P48" s="72" t="s">
        <v>13</v>
      </c>
      <c r="Q48" s="65">
        <f>((((Q46*7)*Q47)/1000)-(Q38+Q39))/4</f>
        <v>14.095999999999998</v>
      </c>
      <c r="R48" s="65">
        <f>((((R46*7)*R47)/1000)-(R38+R39))/4</f>
        <v>20.741250000000001</v>
      </c>
      <c r="S48" s="65">
        <f>((((S46*7)*S47)/1000)-(S38+S39))/4</f>
        <v>14.513874999999999</v>
      </c>
      <c r="T48" s="65">
        <f>((((T46*7)*T47)/1000)-(T38+T39))/4</f>
        <v>3.7931249999999999</v>
      </c>
      <c r="U48" s="253">
        <f>((U45*1000)/U47)/7</f>
        <v>90.799529688418573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232.37200000000001</v>
      </c>
      <c r="C49" s="282">
        <f t="shared" si="10"/>
        <v>327.642</v>
      </c>
      <c r="D49" s="282">
        <f t="shared" si="10"/>
        <v>256.053</v>
      </c>
      <c r="E49" s="282">
        <f t="shared" si="10"/>
        <v>184.184</v>
      </c>
      <c r="F49" s="282">
        <f t="shared" si="10"/>
        <v>151.40649999999999</v>
      </c>
      <c r="G49" s="282">
        <f t="shared" si="10"/>
        <v>239.232</v>
      </c>
      <c r="H49" s="282">
        <f t="shared" si="10"/>
        <v>465.62950000000001</v>
      </c>
      <c r="I49" s="284">
        <f t="shared" si="10"/>
        <v>278.71199999999999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81.983999999999995</v>
      </c>
      <c r="R49" s="282">
        <f>((R47*R46)*7)/1000</f>
        <v>120.36499999999999</v>
      </c>
      <c r="S49" s="282">
        <f>((S47*S46)*7)/1000</f>
        <v>84.255499999999998</v>
      </c>
      <c r="T49" s="282">
        <f>((T47*T46)*7)/1000</f>
        <v>22.172499999999999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86.010362694300525</v>
      </c>
      <c r="C50" s="38">
        <f t="shared" si="11"/>
        <v>86.988847583643121</v>
      </c>
      <c r="D50" s="38">
        <f t="shared" si="11"/>
        <v>89.016336461591919</v>
      </c>
      <c r="E50" s="38">
        <f t="shared" si="11"/>
        <v>92.007992007992016</v>
      </c>
      <c r="F50" s="38">
        <f t="shared" si="11"/>
        <v>90.496114763897197</v>
      </c>
      <c r="G50" s="38">
        <f t="shared" si="11"/>
        <v>88.988095238095241</v>
      </c>
      <c r="H50" s="38">
        <f t="shared" si="11"/>
        <v>86.494519784506792</v>
      </c>
      <c r="I50" s="39">
        <f t="shared" si="11"/>
        <v>83.996383363471963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91.517857142857139</v>
      </c>
      <c r="R50" s="38">
        <f>+(R45/R47)/7*1000</f>
        <v>90.526315789473671</v>
      </c>
      <c r="S50" s="38">
        <f>+(S45/S47)/7*1000</f>
        <v>90.547798066595064</v>
      </c>
      <c r="T50" s="38">
        <f>+(T45/T47)/7*1000</f>
        <v>90.612244897959187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-2.8000000000020009E-2</v>
      </c>
      <c r="C51" s="42">
        <f t="shared" ref="C51:I52" si="12">C49-C45</f>
        <v>4.199999999997317E-2</v>
      </c>
      <c r="D51" s="42">
        <f t="shared" si="12"/>
        <v>-4.6999999999968622E-2</v>
      </c>
      <c r="E51" s="42">
        <f t="shared" si="12"/>
        <v>-1.6000000000019554E-2</v>
      </c>
      <c r="F51" s="42">
        <f t="shared" si="12"/>
        <v>6.4999999999884039E-3</v>
      </c>
      <c r="G51" s="42">
        <f t="shared" si="12"/>
        <v>3.2000000000010687E-2</v>
      </c>
      <c r="H51" s="42">
        <f t="shared" si="12"/>
        <v>2.9499999999984539E-2</v>
      </c>
      <c r="I51" s="42">
        <f t="shared" si="12"/>
        <v>1.2000000000000455E-2</v>
      </c>
      <c r="J51" s="41"/>
      <c r="K51" s="41"/>
      <c r="L51" s="41"/>
      <c r="M51" s="41"/>
      <c r="N51" s="41"/>
      <c r="O51" s="41"/>
      <c r="P51" s="42"/>
      <c r="Q51" s="42">
        <f>Q49-Q45</f>
        <v>-1.6000000000005343E-2</v>
      </c>
      <c r="R51" s="42">
        <f t="shared" ref="R51:T52" si="13">R49-R45</f>
        <v>-3.4999999999996589E-2</v>
      </c>
      <c r="S51" s="42">
        <f t="shared" si="13"/>
        <v>-4.4499999999999318E-2</v>
      </c>
      <c r="T51" s="42">
        <f t="shared" si="13"/>
        <v>-2.7500000000003411E-2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1.0362694300525277E-2</v>
      </c>
      <c r="C52" s="42">
        <f t="shared" si="12"/>
        <v>-1.1152416356878803E-2</v>
      </c>
      <c r="D52" s="42">
        <f t="shared" si="12"/>
        <v>1.633646159191926E-2</v>
      </c>
      <c r="E52" s="42">
        <f t="shared" si="12"/>
        <v>7.992007992015715E-3</v>
      </c>
      <c r="F52" s="42">
        <f t="shared" si="12"/>
        <v>-3.8852361028034466E-3</v>
      </c>
      <c r="G52" s="42">
        <f t="shared" si="12"/>
        <v>-1.1904761904759198E-2</v>
      </c>
      <c r="H52" s="42">
        <f t="shared" si="12"/>
        <v>-5.4802154932076519E-3</v>
      </c>
      <c r="I52" s="42">
        <f t="shared" si="12"/>
        <v>-3.6166365280365653E-3</v>
      </c>
      <c r="K52" s="41"/>
      <c r="L52" s="41"/>
      <c r="M52" s="41"/>
      <c r="N52" s="41"/>
      <c r="O52" s="42"/>
      <c r="P52" s="42"/>
      <c r="Q52" s="42">
        <f>Q50-Q46</f>
        <v>1.7857142857138797E-2</v>
      </c>
      <c r="R52" s="42">
        <f t="shared" si="13"/>
        <v>2.6315789473670748E-2</v>
      </c>
      <c r="S52" s="42">
        <f t="shared" si="13"/>
        <v>4.7798066595063915E-2</v>
      </c>
      <c r="T52" s="42">
        <f t="shared" si="13"/>
        <v>0.11224489795918657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8"/>
      <c r="P55" s="1018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1" t="s">
        <v>63</v>
      </c>
      <c r="C56" s="1032"/>
      <c r="D56" s="1032"/>
      <c r="E56" s="1032"/>
      <c r="F56" s="1032"/>
      <c r="G56" s="1032"/>
      <c r="H56" s="1033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348">
        <v>19.600000000000001</v>
      </c>
      <c r="C59" s="349">
        <v>28.3</v>
      </c>
      <c r="D59" s="349">
        <v>36.700000000000003</v>
      </c>
      <c r="E59" s="349">
        <v>35.299999999999997</v>
      </c>
      <c r="F59" s="349">
        <v>44.3</v>
      </c>
      <c r="G59" s="350">
        <v>11.7</v>
      </c>
      <c r="H59" s="264">
        <f t="shared" ref="H59:H65" si="14">SUM(B59:G59)</f>
        <v>175.89999999999998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281">
        <v>19.600000000000001</v>
      </c>
      <c r="C60" s="285">
        <v>28.3</v>
      </c>
      <c r="D60" s="285">
        <v>36.700000000000003</v>
      </c>
      <c r="E60" s="285">
        <v>35.299999999999997</v>
      </c>
      <c r="F60" s="285">
        <v>44.3</v>
      </c>
      <c r="G60" s="351">
        <v>11.7</v>
      </c>
      <c r="H60" s="264">
        <f t="shared" si="14"/>
        <v>175.89999999999998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21.1</v>
      </c>
      <c r="C61" s="61">
        <v>30.3</v>
      </c>
      <c r="D61" s="61">
        <v>39.4</v>
      </c>
      <c r="E61" s="61">
        <v>37.9</v>
      </c>
      <c r="F61" s="61">
        <v>47.5</v>
      </c>
      <c r="G61" s="94">
        <v>12.6</v>
      </c>
      <c r="H61" s="264">
        <f t="shared" si="14"/>
        <v>188.8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21.1</v>
      </c>
      <c r="C62" s="61">
        <v>30.4</v>
      </c>
      <c r="D62" s="61">
        <v>39.4</v>
      </c>
      <c r="E62" s="61">
        <v>37.9</v>
      </c>
      <c r="F62" s="61">
        <v>47.6</v>
      </c>
      <c r="G62" s="94">
        <v>12.6</v>
      </c>
      <c r="H62" s="264">
        <f t="shared" si="14"/>
        <v>189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21.1</v>
      </c>
      <c r="C64" s="61">
        <v>30.4</v>
      </c>
      <c r="D64" s="61">
        <v>39.5</v>
      </c>
      <c r="E64" s="61">
        <v>38</v>
      </c>
      <c r="F64" s="61">
        <v>47.6</v>
      </c>
      <c r="G64" s="94">
        <v>12.6</v>
      </c>
      <c r="H64" s="264">
        <f t="shared" si="14"/>
        <v>189.2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21.1</v>
      </c>
      <c r="C65" s="269">
        <v>30.4</v>
      </c>
      <c r="D65" s="269">
        <v>39.5</v>
      </c>
      <c r="E65" s="269">
        <v>38</v>
      </c>
      <c r="F65" s="269">
        <v>47.6</v>
      </c>
      <c r="G65" s="318">
        <v>12.7</v>
      </c>
      <c r="H65" s="265">
        <f t="shared" si="14"/>
        <v>189.29999999999998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123.6</v>
      </c>
      <c r="C66" s="120">
        <f t="shared" si="15"/>
        <v>178.10000000000002</v>
      </c>
      <c r="D66" s="120">
        <f t="shared" si="15"/>
        <v>231.20000000000002</v>
      </c>
      <c r="E66" s="120">
        <f t="shared" si="15"/>
        <v>222.4</v>
      </c>
      <c r="F66" s="120">
        <f t="shared" si="15"/>
        <v>278.89999999999998</v>
      </c>
      <c r="G66" s="268">
        <f t="shared" si="15"/>
        <v>73.900000000000006</v>
      </c>
      <c r="H66" s="326">
        <f t="shared" si="15"/>
        <v>1108.0999999999999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96</v>
      </c>
      <c r="C67" s="24">
        <v>96</v>
      </c>
      <c r="D67" s="24">
        <v>96</v>
      </c>
      <c r="E67" s="24">
        <v>96</v>
      </c>
      <c r="F67" s="24">
        <v>96</v>
      </c>
      <c r="G67" s="24">
        <v>96</v>
      </c>
      <c r="H67" s="234">
        <f>+((H66/H68)/7)*1000</f>
        <v>95.997574287446923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352">
        <v>110</v>
      </c>
      <c r="H68" s="235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21.111999999999998</v>
      </c>
      <c r="C69" s="30">
        <f t="shared" si="16"/>
        <v>30.370000000000005</v>
      </c>
      <c r="D69" s="30">
        <f t="shared" si="16"/>
        <v>39.442</v>
      </c>
      <c r="E69" s="30">
        <f t="shared" si="16"/>
        <v>37.957999999999998</v>
      </c>
      <c r="F69" s="30">
        <f t="shared" si="16"/>
        <v>47.57</v>
      </c>
      <c r="G69" s="30">
        <f t="shared" si="16"/>
        <v>12.63</v>
      </c>
      <c r="H69" s="257">
        <f>((H66*1000)/H68)/7</f>
        <v>95.997574287446938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123.648</v>
      </c>
      <c r="C70" s="282">
        <f t="shared" si="17"/>
        <v>178.08</v>
      </c>
      <c r="D70" s="282">
        <f t="shared" si="17"/>
        <v>231.16800000000001</v>
      </c>
      <c r="E70" s="282">
        <f t="shared" si="17"/>
        <v>222.43199999999999</v>
      </c>
      <c r="F70" s="282">
        <f t="shared" si="17"/>
        <v>278.88</v>
      </c>
      <c r="G70" s="283">
        <f t="shared" si="17"/>
        <v>73.92</v>
      </c>
      <c r="H70" s="73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95.962732919254648</v>
      </c>
      <c r="C71" s="38">
        <f t="shared" si="18"/>
        <v>96.010781671159052</v>
      </c>
      <c r="D71" s="38">
        <f t="shared" si="18"/>
        <v>96.013289036544847</v>
      </c>
      <c r="E71" s="38">
        <f t="shared" si="18"/>
        <v>95.986189037548542</v>
      </c>
      <c r="F71" s="38">
        <f t="shared" si="18"/>
        <v>96.006884681583472</v>
      </c>
      <c r="G71" s="158">
        <f t="shared" si="18"/>
        <v>95.974025974025977</v>
      </c>
      <c r="H71" s="237"/>
      <c r="V71" s="3"/>
    </row>
    <row r="72" spans="1:33" ht="33.75" customHeight="1" x14ac:dyDescent="0.25">
      <c r="B72" s="42">
        <f>B70-B66</f>
        <v>4.8000000000001819E-2</v>
      </c>
      <c r="C72" s="42">
        <f t="shared" ref="C72:G73" si="19">C70-C66</f>
        <v>-2.0000000000010232E-2</v>
      </c>
      <c r="D72" s="42">
        <f t="shared" si="19"/>
        <v>-3.2000000000010687E-2</v>
      </c>
      <c r="E72" s="42">
        <f t="shared" si="19"/>
        <v>3.1999999999982265E-2</v>
      </c>
      <c r="F72" s="42">
        <f t="shared" si="19"/>
        <v>-1.999999999998181E-2</v>
      </c>
      <c r="G72" s="42">
        <f t="shared" si="19"/>
        <v>1.9999999999996021E-2</v>
      </c>
    </row>
    <row r="73" spans="1:33" ht="33.75" customHeight="1" x14ac:dyDescent="0.25">
      <c r="B73" s="42">
        <f>B71-B67</f>
        <v>-3.7267080745351677E-2</v>
      </c>
      <c r="C73" s="42">
        <f t="shared" si="19"/>
        <v>1.0781671159051598E-2</v>
      </c>
      <c r="D73" s="42">
        <f t="shared" si="19"/>
        <v>1.3289036544847477E-2</v>
      </c>
      <c r="E73" s="42">
        <f t="shared" si="19"/>
        <v>-1.3810962451458408E-2</v>
      </c>
      <c r="F73" s="42">
        <f t="shared" si="19"/>
        <v>6.8846815834717745E-3</v>
      </c>
      <c r="G73" s="42">
        <f t="shared" si="19"/>
        <v>-2.5974025974022652E-2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H56"/>
    <mergeCell ref="B15:K15"/>
    <mergeCell ref="L15:P15"/>
    <mergeCell ref="Q15:Y15"/>
    <mergeCell ref="B35:J35"/>
    <mergeCell ref="Q35:U35"/>
    <mergeCell ref="O55:P55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2"/>
  <dimension ref="A1:AK243"/>
  <sheetViews>
    <sheetView topLeftCell="I4" zoomScale="30" zoomScaleNormal="30" workbookViewId="0">
      <selection activeCell="Y39" sqref="Y39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8.28515625" style="14" bestFit="1" customWidth="1"/>
    <col min="27" max="27" width="24.85546875" style="14" bestFit="1" customWidth="1"/>
    <col min="28" max="28" width="21.85546875" style="14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77</v>
      </c>
      <c r="Q11" s="1022"/>
      <c r="R11" s="6"/>
      <c r="S11" s="6"/>
      <c r="T11" s="1"/>
      <c r="U11" s="1"/>
      <c r="V11" s="1" t="s">
        <v>6</v>
      </c>
      <c r="W11" s="95">
        <v>45496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1"/>
      <c r="M14" s="1041"/>
      <c r="N14" s="1041"/>
      <c r="O14" s="1041"/>
      <c r="P14" s="1041"/>
      <c r="Q14" s="1041"/>
      <c r="R14" s="1041"/>
      <c r="S14" s="1041"/>
      <c r="T14" s="1041"/>
      <c r="U14" s="1041"/>
      <c r="V14" s="1041"/>
      <c r="W14" s="1041"/>
      <c r="X14" s="1041"/>
      <c r="Y14" s="1041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1025" t="s">
        <v>63</v>
      </c>
      <c r="M15" s="1026"/>
      <c r="N15" s="1026"/>
      <c r="O15" s="1026"/>
      <c r="P15" s="1030"/>
      <c r="Q15" s="1025" t="s">
        <v>8</v>
      </c>
      <c r="R15" s="1026"/>
      <c r="S15" s="1026"/>
      <c r="T15" s="1026"/>
      <c r="U15" s="1026"/>
      <c r="V15" s="1026"/>
      <c r="W15" s="1026"/>
      <c r="X15" s="1026"/>
      <c r="Y15" s="1026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359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56.6</v>
      </c>
      <c r="C18" s="345">
        <v>36.299999999999997</v>
      </c>
      <c r="D18" s="345">
        <v>35.9</v>
      </c>
      <c r="E18" s="345">
        <v>30.7</v>
      </c>
      <c r="F18" s="345">
        <v>19.7</v>
      </c>
      <c r="G18" s="345">
        <v>24.4</v>
      </c>
      <c r="H18" s="345">
        <v>43.7</v>
      </c>
      <c r="I18" s="345">
        <v>66</v>
      </c>
      <c r="J18" s="345">
        <v>54.9</v>
      </c>
      <c r="K18" s="354">
        <v>27.5</v>
      </c>
      <c r="L18" s="348">
        <v>27.3</v>
      </c>
      <c r="M18" s="345">
        <v>27.4</v>
      </c>
      <c r="N18" s="345">
        <v>39.6</v>
      </c>
      <c r="O18" s="345">
        <v>49.5</v>
      </c>
      <c r="P18" s="354">
        <v>47.8</v>
      </c>
      <c r="Q18" s="360">
        <v>47.3</v>
      </c>
      <c r="R18" s="338">
        <v>71.099999999999994</v>
      </c>
      <c r="S18" s="338">
        <v>34.200000000000003</v>
      </c>
      <c r="T18" s="338">
        <v>29.5</v>
      </c>
      <c r="U18" s="338">
        <v>23.8</v>
      </c>
      <c r="V18" s="338">
        <v>47.6</v>
      </c>
      <c r="W18" s="338">
        <v>48.1</v>
      </c>
      <c r="X18" s="338">
        <v>48.1</v>
      </c>
      <c r="Y18" s="338">
        <v>58.4</v>
      </c>
      <c r="Z18" s="98">
        <f t="shared" ref="Z18:Z24" si="0">SUM(B18:Y18)</f>
        <v>995.4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56.6</v>
      </c>
      <c r="C19" s="282">
        <v>36.299999999999997</v>
      </c>
      <c r="D19" s="282">
        <v>35.9</v>
      </c>
      <c r="E19" s="282">
        <v>30.7</v>
      </c>
      <c r="F19" s="282">
        <v>19.7</v>
      </c>
      <c r="G19" s="282">
        <v>24.4</v>
      </c>
      <c r="H19" s="282">
        <v>43.7</v>
      </c>
      <c r="I19" s="282">
        <v>66</v>
      </c>
      <c r="J19" s="282">
        <v>54.9</v>
      </c>
      <c r="K19" s="283">
        <v>27.5</v>
      </c>
      <c r="L19" s="281">
        <v>27.3</v>
      </c>
      <c r="M19" s="282">
        <v>27.4</v>
      </c>
      <c r="N19" s="282">
        <v>39.6</v>
      </c>
      <c r="O19" s="282">
        <v>49.5</v>
      </c>
      <c r="P19" s="283">
        <v>47.8</v>
      </c>
      <c r="Q19" s="281">
        <v>47.3</v>
      </c>
      <c r="R19" s="282">
        <v>71.099999999999994</v>
      </c>
      <c r="S19" s="282">
        <v>34.200000000000003</v>
      </c>
      <c r="T19" s="282">
        <v>29.5</v>
      </c>
      <c r="U19" s="282">
        <v>23.8</v>
      </c>
      <c r="V19" s="282">
        <v>47.6</v>
      </c>
      <c r="W19" s="282">
        <v>48.1</v>
      </c>
      <c r="X19" s="282">
        <v>48.1</v>
      </c>
      <c r="Y19" s="282">
        <v>58.4</v>
      </c>
      <c r="Z19" s="98">
        <f t="shared" si="0"/>
        <v>995.4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63.6</v>
      </c>
      <c r="C20" s="19">
        <v>40.6</v>
      </c>
      <c r="D20" s="19">
        <v>40.200000000000003</v>
      </c>
      <c r="E20" s="19">
        <v>34.1</v>
      </c>
      <c r="F20" s="19">
        <v>22</v>
      </c>
      <c r="G20" s="19">
        <v>27.1</v>
      </c>
      <c r="H20" s="19">
        <v>49</v>
      </c>
      <c r="I20" s="19">
        <v>74.2</v>
      </c>
      <c r="J20" s="19">
        <v>61.5</v>
      </c>
      <c r="K20" s="104">
        <v>30.8</v>
      </c>
      <c r="L20" s="18">
        <v>30.4</v>
      </c>
      <c r="M20" s="19">
        <v>30.7</v>
      </c>
      <c r="N20" s="19">
        <v>44.6</v>
      </c>
      <c r="O20" s="19">
        <v>56.2</v>
      </c>
      <c r="P20" s="104">
        <v>53.4</v>
      </c>
      <c r="Q20" s="18">
        <v>53.2</v>
      </c>
      <c r="R20" s="19">
        <v>79.2</v>
      </c>
      <c r="S20" s="19">
        <v>38.200000000000003</v>
      </c>
      <c r="T20" s="19">
        <v>32.9</v>
      </c>
      <c r="U20" s="19">
        <v>26.2</v>
      </c>
      <c r="V20" s="19">
        <v>53.1</v>
      </c>
      <c r="W20" s="19">
        <v>53.9</v>
      </c>
      <c r="X20" s="19">
        <v>54</v>
      </c>
      <c r="Y20" s="19">
        <v>65.8</v>
      </c>
      <c r="Z20" s="98">
        <f t="shared" si="0"/>
        <v>1114.9000000000001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63.6</v>
      </c>
      <c r="C21" s="19">
        <v>40.700000000000003</v>
      </c>
      <c r="D21" s="19">
        <v>40.299999999999997</v>
      </c>
      <c r="E21" s="19">
        <v>34.200000000000003</v>
      </c>
      <c r="F21" s="19">
        <v>22</v>
      </c>
      <c r="G21" s="19">
        <v>27.1</v>
      </c>
      <c r="H21" s="19">
        <v>49</v>
      </c>
      <c r="I21" s="19">
        <v>74.2</v>
      </c>
      <c r="J21" s="19">
        <v>61.5</v>
      </c>
      <c r="K21" s="104">
        <v>30.9</v>
      </c>
      <c r="L21" s="18">
        <v>30.4</v>
      </c>
      <c r="M21" s="19">
        <v>30.8</v>
      </c>
      <c r="N21" s="19">
        <v>44.6</v>
      </c>
      <c r="O21" s="19">
        <v>56.2</v>
      </c>
      <c r="P21" s="104">
        <v>53.4</v>
      </c>
      <c r="Q21" s="18">
        <v>53.2</v>
      </c>
      <c r="R21" s="19">
        <v>79.2</v>
      </c>
      <c r="S21" s="19">
        <v>38.200000000000003</v>
      </c>
      <c r="T21" s="19">
        <v>32.9</v>
      </c>
      <c r="U21" s="19">
        <v>26.2</v>
      </c>
      <c r="V21" s="19">
        <v>53.1</v>
      </c>
      <c r="W21" s="19">
        <v>53.9</v>
      </c>
      <c r="X21" s="19">
        <v>54</v>
      </c>
      <c r="Y21" s="19">
        <v>65.8</v>
      </c>
      <c r="Z21" s="98">
        <f t="shared" si="0"/>
        <v>1115.4000000000001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63.7</v>
      </c>
      <c r="C22" s="19">
        <v>40.700000000000003</v>
      </c>
      <c r="D22" s="19">
        <v>40.299999999999997</v>
      </c>
      <c r="E22" s="19">
        <v>34.200000000000003</v>
      </c>
      <c r="F22" s="19">
        <v>22</v>
      </c>
      <c r="G22" s="19">
        <v>27.2</v>
      </c>
      <c r="H22" s="19">
        <v>49</v>
      </c>
      <c r="I22" s="19">
        <v>74.2</v>
      </c>
      <c r="J22" s="19">
        <v>61.5</v>
      </c>
      <c r="K22" s="104">
        <v>30.9</v>
      </c>
      <c r="L22" s="18">
        <v>30.4</v>
      </c>
      <c r="M22" s="19">
        <v>30.8</v>
      </c>
      <c r="N22" s="19">
        <v>44.6</v>
      </c>
      <c r="O22" s="19">
        <v>56.2</v>
      </c>
      <c r="P22" s="104">
        <v>53.4</v>
      </c>
      <c r="Q22" s="18">
        <v>53.2</v>
      </c>
      <c r="R22" s="19">
        <v>79.2</v>
      </c>
      <c r="S22" s="19">
        <v>38.200000000000003</v>
      </c>
      <c r="T22" s="19">
        <v>32.9</v>
      </c>
      <c r="U22" s="19">
        <v>26.2</v>
      </c>
      <c r="V22" s="19">
        <v>53.1</v>
      </c>
      <c r="W22" s="19">
        <v>53.9</v>
      </c>
      <c r="X22" s="19">
        <v>54.1</v>
      </c>
      <c r="Y22" s="19">
        <v>65.900000000000006</v>
      </c>
      <c r="Z22" s="98">
        <f t="shared" si="0"/>
        <v>1115.8000000000002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63.7</v>
      </c>
      <c r="C23" s="19">
        <v>40.700000000000003</v>
      </c>
      <c r="D23" s="19">
        <v>40.299999999999997</v>
      </c>
      <c r="E23" s="19">
        <v>34.200000000000003</v>
      </c>
      <c r="F23" s="19">
        <v>22.1</v>
      </c>
      <c r="G23" s="19">
        <v>27.2</v>
      </c>
      <c r="H23" s="19">
        <v>49</v>
      </c>
      <c r="I23" s="19">
        <v>74.2</v>
      </c>
      <c r="J23" s="19">
        <v>61.6</v>
      </c>
      <c r="K23" s="104">
        <v>30.9</v>
      </c>
      <c r="L23" s="18">
        <v>30.4</v>
      </c>
      <c r="M23" s="19">
        <v>30.8</v>
      </c>
      <c r="N23" s="19">
        <v>44.6</v>
      </c>
      <c r="O23" s="19">
        <v>56.3</v>
      </c>
      <c r="P23" s="104">
        <v>53.4</v>
      </c>
      <c r="Q23" s="18">
        <v>53.2</v>
      </c>
      <c r="R23" s="19">
        <v>79.3</v>
      </c>
      <c r="S23" s="19">
        <v>38.200000000000003</v>
      </c>
      <c r="T23" s="19">
        <v>32.9</v>
      </c>
      <c r="U23" s="19">
        <v>26.2</v>
      </c>
      <c r="V23" s="19">
        <v>53.1</v>
      </c>
      <c r="W23" s="19">
        <v>54</v>
      </c>
      <c r="X23" s="19">
        <v>54.1</v>
      </c>
      <c r="Y23" s="19">
        <v>65.900000000000006</v>
      </c>
      <c r="Z23" s="98">
        <f t="shared" si="0"/>
        <v>1116.3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66">
        <v>63.7</v>
      </c>
      <c r="C24" s="267">
        <v>40.700000000000003</v>
      </c>
      <c r="D24" s="267">
        <v>40.299999999999997</v>
      </c>
      <c r="E24" s="267">
        <v>34.200000000000003</v>
      </c>
      <c r="F24" s="267">
        <v>22.1</v>
      </c>
      <c r="G24" s="267">
        <v>27.2</v>
      </c>
      <c r="H24" s="267">
        <v>49.1</v>
      </c>
      <c r="I24" s="267">
        <v>74.2</v>
      </c>
      <c r="J24" s="267">
        <v>61.6</v>
      </c>
      <c r="K24" s="271">
        <v>30.9</v>
      </c>
      <c r="L24" s="18">
        <v>30.4</v>
      </c>
      <c r="M24" s="19">
        <v>30.8</v>
      </c>
      <c r="N24" s="19">
        <v>44.7</v>
      </c>
      <c r="O24" s="19">
        <v>56.3</v>
      </c>
      <c r="P24" s="104">
        <v>53.4</v>
      </c>
      <c r="Q24" s="266">
        <v>53.2</v>
      </c>
      <c r="R24" s="267">
        <v>79.3</v>
      </c>
      <c r="S24" s="267">
        <v>38.200000000000003</v>
      </c>
      <c r="T24" s="267">
        <v>33</v>
      </c>
      <c r="U24" s="267">
        <v>26.2</v>
      </c>
      <c r="V24" s="267">
        <v>53.1</v>
      </c>
      <c r="W24" s="267">
        <v>54</v>
      </c>
      <c r="X24" s="267">
        <v>54.1</v>
      </c>
      <c r="Y24" s="267">
        <v>65.900000000000006</v>
      </c>
      <c r="Z24" s="98">
        <f t="shared" si="0"/>
        <v>1116.6000000000001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431.5</v>
      </c>
      <c r="C25" s="120">
        <f>SUM(C18:C24)</f>
        <v>275.99999999999994</v>
      </c>
      <c r="D25" s="120">
        <f t="shared" ref="D25:Y25" si="1">SUM(D18:D24)</f>
        <v>273.20000000000005</v>
      </c>
      <c r="E25" s="120">
        <f t="shared" si="1"/>
        <v>232.29999999999995</v>
      </c>
      <c r="F25" s="120">
        <f t="shared" si="1"/>
        <v>149.6</v>
      </c>
      <c r="G25" s="120">
        <f t="shared" si="1"/>
        <v>184.59999999999997</v>
      </c>
      <c r="H25" s="120">
        <f t="shared" si="1"/>
        <v>332.5</v>
      </c>
      <c r="I25" s="120">
        <f t="shared" si="1"/>
        <v>502.99999999999994</v>
      </c>
      <c r="J25" s="120">
        <f t="shared" si="1"/>
        <v>417.50000000000006</v>
      </c>
      <c r="K25" s="121">
        <f t="shared" si="1"/>
        <v>209.4</v>
      </c>
      <c r="L25" s="122">
        <f t="shared" si="1"/>
        <v>206.60000000000002</v>
      </c>
      <c r="M25" s="120">
        <f t="shared" si="1"/>
        <v>208.70000000000002</v>
      </c>
      <c r="N25" s="120">
        <f t="shared" si="1"/>
        <v>302.3</v>
      </c>
      <c r="O25" s="120">
        <f t="shared" si="1"/>
        <v>380.2</v>
      </c>
      <c r="P25" s="268">
        <f t="shared" si="1"/>
        <v>362.59999999999997</v>
      </c>
      <c r="Q25" s="122">
        <f t="shared" si="1"/>
        <v>360.59999999999997</v>
      </c>
      <c r="R25" s="120">
        <f t="shared" si="1"/>
        <v>538.4</v>
      </c>
      <c r="S25" s="120">
        <f t="shared" si="1"/>
        <v>259.39999999999998</v>
      </c>
      <c r="T25" s="120">
        <f t="shared" si="1"/>
        <v>223.60000000000002</v>
      </c>
      <c r="U25" s="120">
        <f t="shared" si="1"/>
        <v>178.6</v>
      </c>
      <c r="V25" s="120">
        <f t="shared" si="1"/>
        <v>360.70000000000005</v>
      </c>
      <c r="W25" s="120">
        <f t="shared" si="1"/>
        <v>365.9</v>
      </c>
      <c r="X25" s="120">
        <f t="shared" si="1"/>
        <v>366.50000000000006</v>
      </c>
      <c r="Y25" s="120">
        <f t="shared" si="1"/>
        <v>446.09999999999991</v>
      </c>
      <c r="Z25" s="361">
        <f>SUM(Z18:Z24)</f>
        <v>7569.8000000000011</v>
      </c>
      <c r="AB25" s="42"/>
    </row>
    <row r="26" spans="1:37" s="2" customFormat="1" ht="36.75" customHeight="1" x14ac:dyDescent="0.25">
      <c r="A26" s="148" t="s">
        <v>11</v>
      </c>
      <c r="B26" s="23">
        <v>92</v>
      </c>
      <c r="C26" s="24">
        <v>93</v>
      </c>
      <c r="D26" s="24">
        <v>92.5</v>
      </c>
      <c r="E26" s="24">
        <v>93.5</v>
      </c>
      <c r="F26" s="24">
        <v>95</v>
      </c>
      <c r="G26" s="24">
        <v>94.5</v>
      </c>
      <c r="H26" s="24">
        <v>93.5</v>
      </c>
      <c r="I26" s="24">
        <v>92</v>
      </c>
      <c r="J26" s="24">
        <v>90.5</v>
      </c>
      <c r="K26" s="25">
        <v>88.5</v>
      </c>
      <c r="L26" s="23">
        <v>92.5</v>
      </c>
      <c r="M26" s="24">
        <v>89</v>
      </c>
      <c r="N26" s="24">
        <v>88.5</v>
      </c>
      <c r="O26" s="24">
        <v>85</v>
      </c>
      <c r="P26" s="155">
        <v>87.5</v>
      </c>
      <c r="Q26" s="23">
        <v>91.5</v>
      </c>
      <c r="R26" s="24">
        <v>93</v>
      </c>
      <c r="S26" s="24">
        <v>96.5</v>
      </c>
      <c r="T26" s="24">
        <v>98</v>
      </c>
      <c r="U26" s="24">
        <v>94.5</v>
      </c>
      <c r="V26" s="24">
        <v>93</v>
      </c>
      <c r="W26" s="24">
        <v>93</v>
      </c>
      <c r="X26" s="24">
        <v>93</v>
      </c>
      <c r="Y26" s="24">
        <v>89.5</v>
      </c>
      <c r="Z26" s="99">
        <f>((Z25/Z27)/7)*1000</f>
        <v>91.682916490038167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156">
        <v>592</v>
      </c>
      <c r="Q27" s="26">
        <v>563</v>
      </c>
      <c r="R27" s="27">
        <v>827</v>
      </c>
      <c r="S27" s="27">
        <v>384</v>
      </c>
      <c r="T27" s="27">
        <v>326</v>
      </c>
      <c r="U27" s="27">
        <v>270</v>
      </c>
      <c r="V27" s="27">
        <v>554</v>
      </c>
      <c r="W27" s="27">
        <v>562</v>
      </c>
      <c r="X27" s="27">
        <v>563</v>
      </c>
      <c r="Y27" s="27">
        <v>712</v>
      </c>
      <c r="Z27" s="29">
        <f>SUM(B27:Y27)</f>
        <v>11795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63.656000000000006</v>
      </c>
      <c r="C28" s="30">
        <f>((((C26*7)*C27)/1000)-(C18+C19))/5</f>
        <v>40.684800000000003</v>
      </c>
      <c r="D28" s="30">
        <f t="shared" ref="D28:Y28" si="2">((((D26*7)*D27)/1000)-(D18+D19))/5</f>
        <v>40.289000000000001</v>
      </c>
      <c r="E28" s="30">
        <f t="shared" si="2"/>
        <v>34.189499999999995</v>
      </c>
      <c r="F28" s="30">
        <f t="shared" si="2"/>
        <v>22.044999999999998</v>
      </c>
      <c r="G28" s="30">
        <f t="shared" si="2"/>
        <v>27.151700000000005</v>
      </c>
      <c r="H28" s="30">
        <f t="shared" si="2"/>
        <v>49.017199999999995</v>
      </c>
      <c r="I28" s="30">
        <f t="shared" si="2"/>
        <v>74.192800000000005</v>
      </c>
      <c r="J28" s="30">
        <f t="shared" si="2"/>
        <v>61.535299999999992</v>
      </c>
      <c r="K28" s="356">
        <f t="shared" si="2"/>
        <v>30.8782</v>
      </c>
      <c r="L28" s="30">
        <f t="shared" si="2"/>
        <v>30.390500000000003</v>
      </c>
      <c r="M28" s="30">
        <f t="shared" si="2"/>
        <v>30.781000000000006</v>
      </c>
      <c r="N28" s="30">
        <f t="shared" si="2"/>
        <v>44.623199999999997</v>
      </c>
      <c r="O28" s="30">
        <f t="shared" si="2"/>
        <v>56.241</v>
      </c>
      <c r="P28" s="358">
        <f t="shared" si="2"/>
        <v>53.4</v>
      </c>
      <c r="Q28" s="30">
        <f t="shared" si="2"/>
        <v>53.200299999999991</v>
      </c>
      <c r="R28" s="31">
        <f t="shared" si="2"/>
        <v>79.235399999999998</v>
      </c>
      <c r="S28" s="31">
        <f t="shared" si="2"/>
        <v>38.198399999999999</v>
      </c>
      <c r="T28" s="31">
        <f t="shared" si="2"/>
        <v>32.927199999999999</v>
      </c>
      <c r="U28" s="31">
        <f t="shared" si="2"/>
        <v>26.201000000000001</v>
      </c>
      <c r="V28" s="31">
        <f t="shared" si="2"/>
        <v>53.090800000000002</v>
      </c>
      <c r="W28" s="31">
        <f t="shared" si="2"/>
        <v>53.932400000000008</v>
      </c>
      <c r="X28" s="31">
        <f t="shared" si="2"/>
        <v>54.062599999999996</v>
      </c>
      <c r="Y28" s="31">
        <f t="shared" si="2"/>
        <v>65.8536</v>
      </c>
      <c r="Z28" s="362">
        <f>((Z25*1000)/7)/Z27</f>
        <v>91.682916490038167</v>
      </c>
      <c r="AB28" s="43"/>
    </row>
    <row r="29" spans="1:37" ht="33.75" customHeight="1" x14ac:dyDescent="0.25">
      <c r="A29" s="151" t="s">
        <v>14</v>
      </c>
      <c r="B29" s="281">
        <f>((B27*B26)*7)/1000</f>
        <v>431.48</v>
      </c>
      <c r="C29" s="282">
        <f>((C27*C26)*7)/1000</f>
        <v>276.024</v>
      </c>
      <c r="D29" s="282">
        <f t="shared" ref="D29:Y29" si="3">((D27*D26)*7)/1000</f>
        <v>273.245</v>
      </c>
      <c r="E29" s="282">
        <f t="shared" si="3"/>
        <v>232.3475</v>
      </c>
      <c r="F29" s="282">
        <f t="shared" si="3"/>
        <v>149.625</v>
      </c>
      <c r="G29" s="282">
        <f t="shared" si="3"/>
        <v>184.55850000000001</v>
      </c>
      <c r="H29" s="282">
        <f t="shared" si="3"/>
        <v>332.48599999999999</v>
      </c>
      <c r="I29" s="282">
        <f t="shared" si="3"/>
        <v>502.964</v>
      </c>
      <c r="J29" s="282">
        <f t="shared" si="3"/>
        <v>417.47649999999999</v>
      </c>
      <c r="K29" s="284">
        <f t="shared" si="3"/>
        <v>209.39099999999999</v>
      </c>
      <c r="L29" s="281">
        <f t="shared" si="3"/>
        <v>206.55250000000001</v>
      </c>
      <c r="M29" s="282">
        <f t="shared" si="3"/>
        <v>208.70500000000001</v>
      </c>
      <c r="N29" s="282">
        <f t="shared" si="3"/>
        <v>302.31599999999997</v>
      </c>
      <c r="O29" s="282">
        <f t="shared" si="3"/>
        <v>380.20499999999998</v>
      </c>
      <c r="P29" s="283">
        <f t="shared" si="3"/>
        <v>362.6</v>
      </c>
      <c r="Q29" s="281">
        <f t="shared" si="3"/>
        <v>360.60149999999999</v>
      </c>
      <c r="R29" s="282">
        <f t="shared" si="3"/>
        <v>538.37699999999995</v>
      </c>
      <c r="S29" s="282">
        <f t="shared" si="3"/>
        <v>259.392</v>
      </c>
      <c r="T29" s="282">
        <f t="shared" si="3"/>
        <v>223.636</v>
      </c>
      <c r="U29" s="282">
        <f t="shared" si="3"/>
        <v>178.60499999999999</v>
      </c>
      <c r="V29" s="282">
        <f t="shared" si="3"/>
        <v>360.654</v>
      </c>
      <c r="W29" s="282">
        <f t="shared" si="3"/>
        <v>365.86200000000002</v>
      </c>
      <c r="X29" s="282">
        <f t="shared" si="3"/>
        <v>366.51299999999998</v>
      </c>
      <c r="Y29" s="282">
        <f t="shared" si="3"/>
        <v>446.06799999999998</v>
      </c>
      <c r="Z29" s="36"/>
      <c r="AB29" s="41"/>
    </row>
    <row r="30" spans="1:37" ht="33.75" customHeight="1" thickBot="1" x14ac:dyDescent="0.3">
      <c r="A30" s="152" t="s">
        <v>15</v>
      </c>
      <c r="B30" s="37">
        <f>+(B25/B27)/7*1000</f>
        <v>92.004264392324089</v>
      </c>
      <c r="C30" s="38">
        <f t="shared" ref="C30:Y30" si="4">+(C25/C27)/7*1000</f>
        <v>92.991913746630715</v>
      </c>
      <c r="D30" s="38">
        <f t="shared" si="4"/>
        <v>92.484766418415731</v>
      </c>
      <c r="E30" s="38">
        <f t="shared" si="4"/>
        <v>93.480885311871191</v>
      </c>
      <c r="F30" s="38">
        <f t="shared" si="4"/>
        <v>94.984126984126974</v>
      </c>
      <c r="G30" s="38">
        <f t="shared" si="4"/>
        <v>94.521249359959015</v>
      </c>
      <c r="H30" s="38">
        <f t="shared" si="4"/>
        <v>93.503937007874001</v>
      </c>
      <c r="I30" s="38">
        <f t="shared" si="4"/>
        <v>92.006584964331438</v>
      </c>
      <c r="J30" s="38">
        <f t="shared" si="4"/>
        <v>90.505094298721019</v>
      </c>
      <c r="K30" s="39">
        <f t="shared" si="4"/>
        <v>88.50380388841927</v>
      </c>
      <c r="L30" s="37">
        <f t="shared" si="4"/>
        <v>92.521271831616673</v>
      </c>
      <c r="M30" s="38">
        <f t="shared" si="4"/>
        <v>88.997867803837963</v>
      </c>
      <c r="N30" s="38">
        <f t="shared" si="4"/>
        <v>88.495316159250592</v>
      </c>
      <c r="O30" s="38">
        <f t="shared" si="4"/>
        <v>84.998882181980775</v>
      </c>
      <c r="P30" s="158">
        <f t="shared" si="4"/>
        <v>87.5</v>
      </c>
      <c r="Q30" s="37">
        <f t="shared" si="4"/>
        <v>91.499619385942637</v>
      </c>
      <c r="R30" s="38">
        <f t="shared" si="4"/>
        <v>93.003973052340655</v>
      </c>
      <c r="S30" s="38">
        <f t="shared" si="4"/>
        <v>96.502976190476176</v>
      </c>
      <c r="T30" s="38">
        <f t="shared" si="4"/>
        <v>97.984224364592464</v>
      </c>
      <c r="U30" s="38">
        <f t="shared" si="4"/>
        <v>94.497354497354493</v>
      </c>
      <c r="V30" s="38">
        <f t="shared" si="4"/>
        <v>93.011861784424966</v>
      </c>
      <c r="W30" s="38">
        <f t="shared" si="4"/>
        <v>93.009659379766134</v>
      </c>
      <c r="X30" s="38">
        <f t="shared" si="4"/>
        <v>92.996701344836353</v>
      </c>
      <c r="Y30" s="38">
        <f t="shared" si="4"/>
        <v>89.50642054574638</v>
      </c>
      <c r="Z30" s="40"/>
      <c r="AB30" s="42"/>
    </row>
    <row r="31" spans="1:37" ht="33.75" customHeight="1" x14ac:dyDescent="0.25">
      <c r="A31" s="41"/>
      <c r="B31" s="42">
        <f>B29-B25</f>
        <v>-1.999999999998181E-2</v>
      </c>
      <c r="C31" s="42">
        <f t="shared" ref="C31:Y32" si="5">C29-C25</f>
        <v>2.4000000000057753E-2</v>
      </c>
      <c r="D31" s="42">
        <f t="shared" si="5"/>
        <v>4.4999999999959073E-2</v>
      </c>
      <c r="E31" s="42">
        <f t="shared" si="5"/>
        <v>4.7500000000042064E-2</v>
      </c>
      <c r="F31" s="42">
        <f t="shared" si="5"/>
        <v>2.5000000000005684E-2</v>
      </c>
      <c r="G31" s="42">
        <f t="shared" si="5"/>
        <v>-4.1499999999956572E-2</v>
      </c>
      <c r="H31" s="42">
        <f t="shared" si="5"/>
        <v>-1.4000000000010004E-2</v>
      </c>
      <c r="I31" s="42">
        <f t="shared" si="5"/>
        <v>-3.5999999999944521E-2</v>
      </c>
      <c r="J31" s="42">
        <f t="shared" si="5"/>
        <v>-2.3500000000069576E-2</v>
      </c>
      <c r="K31" s="42">
        <f t="shared" si="5"/>
        <v>-9.0000000000145519E-3</v>
      </c>
      <c r="L31" s="42">
        <f t="shared" si="5"/>
        <v>-4.7500000000013642E-2</v>
      </c>
      <c r="M31" s="42">
        <f t="shared" si="5"/>
        <v>4.9999999999954525E-3</v>
      </c>
      <c r="N31" s="42">
        <f t="shared" si="5"/>
        <v>1.5999999999962711E-2</v>
      </c>
      <c r="O31" s="42">
        <f t="shared" si="5"/>
        <v>4.9999999999954525E-3</v>
      </c>
      <c r="P31" s="42">
        <f t="shared" si="5"/>
        <v>0</v>
      </c>
      <c r="Q31" s="42">
        <f t="shared" si="5"/>
        <v>1.5000000000213731E-3</v>
      </c>
      <c r="R31" s="42">
        <f t="shared" si="5"/>
        <v>-2.3000000000024556E-2</v>
      </c>
      <c r="S31" s="42">
        <f t="shared" si="5"/>
        <v>-7.9999999999813554E-3</v>
      </c>
      <c r="T31" s="42">
        <f t="shared" si="5"/>
        <v>3.5999999999972943E-2</v>
      </c>
      <c r="U31" s="42">
        <f t="shared" si="5"/>
        <v>4.9999999999954525E-3</v>
      </c>
      <c r="V31" s="42">
        <f t="shared" si="5"/>
        <v>-4.6000000000049113E-2</v>
      </c>
      <c r="W31" s="42">
        <f t="shared" si="5"/>
        <v>-3.7999999999954071E-2</v>
      </c>
      <c r="X31" s="42">
        <f t="shared" si="5"/>
        <v>1.2999999999919964E-2</v>
      </c>
      <c r="Y31" s="42">
        <f t="shared" si="5"/>
        <v>-3.1999999999925421E-2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4.2643923240888171E-3</v>
      </c>
      <c r="C32" s="42">
        <f t="shared" si="5"/>
        <v>-8.0862533692851457E-3</v>
      </c>
      <c r="D32" s="42">
        <f t="shared" si="5"/>
        <v>-1.5233581584269018E-2</v>
      </c>
      <c r="E32" s="42">
        <f t="shared" si="5"/>
        <v>-1.9114688128809121E-2</v>
      </c>
      <c r="F32" s="42">
        <f t="shared" si="5"/>
        <v>-1.5873015873026475E-2</v>
      </c>
      <c r="G32" s="42">
        <f t="shared" si="5"/>
        <v>2.1249359959014669E-2</v>
      </c>
      <c r="H32" s="42">
        <f t="shared" si="5"/>
        <v>3.937007874000642E-3</v>
      </c>
      <c r="I32" s="42">
        <f t="shared" si="5"/>
        <v>6.5849643314379591E-3</v>
      </c>
      <c r="J32" s="42">
        <f t="shared" si="5"/>
        <v>5.0942987210191859E-3</v>
      </c>
      <c r="K32" s="42">
        <f t="shared" si="5"/>
        <v>3.8038884192701516E-3</v>
      </c>
      <c r="L32" s="42">
        <f t="shared" si="5"/>
        <v>2.1271831616672898E-2</v>
      </c>
      <c r="M32" s="42">
        <f t="shared" si="5"/>
        <v>-2.1321961620373031E-3</v>
      </c>
      <c r="N32" s="42">
        <f t="shared" si="5"/>
        <v>-4.6838407494078638E-3</v>
      </c>
      <c r="O32" s="42">
        <f t="shared" si="5"/>
        <v>-1.1178180192246145E-3</v>
      </c>
      <c r="P32" s="42">
        <f t="shared" si="5"/>
        <v>0</v>
      </c>
      <c r="Q32" s="42">
        <f>Q30-Q26</f>
        <v>-3.8061405736300458E-4</v>
      </c>
      <c r="R32" s="42">
        <f t="shared" si="5"/>
        <v>3.9730523406547036E-3</v>
      </c>
      <c r="S32" s="42">
        <f t="shared" si="5"/>
        <v>2.9761904761755886E-3</v>
      </c>
      <c r="T32" s="42">
        <f t="shared" si="5"/>
        <v>-1.5775635407536015E-2</v>
      </c>
      <c r="U32" s="42">
        <f t="shared" si="5"/>
        <v>-2.6455026455067809E-3</v>
      </c>
      <c r="V32" s="42">
        <f t="shared" si="5"/>
        <v>1.1861784424965549E-2</v>
      </c>
      <c r="W32" s="42">
        <f t="shared" si="5"/>
        <v>9.6593797661341796E-3</v>
      </c>
      <c r="X32" s="42">
        <f t="shared" si="5"/>
        <v>-3.298655163646913E-3</v>
      </c>
      <c r="Y32" s="42">
        <f t="shared" si="5"/>
        <v>6.4205457463799576E-3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5" t="s">
        <v>8</v>
      </c>
      <c r="C35" s="1036"/>
      <c r="D35" s="1036"/>
      <c r="E35" s="1036"/>
      <c r="F35" s="1036"/>
      <c r="G35" s="1036"/>
      <c r="H35" s="1036"/>
      <c r="I35" s="1036"/>
      <c r="J35" s="1037"/>
      <c r="K35" s="244"/>
      <c r="L35" s="42"/>
      <c r="M35" s="42"/>
      <c r="N35" s="42"/>
      <c r="O35" s="44"/>
      <c r="P35" s="88" t="s">
        <v>18</v>
      </c>
      <c r="Q35" s="1031" t="s">
        <v>8</v>
      </c>
      <c r="R35" s="1032"/>
      <c r="S35" s="1032"/>
      <c r="T35" s="1033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33.200000000000003</v>
      </c>
      <c r="C38" s="345">
        <v>46.8</v>
      </c>
      <c r="D38" s="345">
        <v>36.6</v>
      </c>
      <c r="E38" s="345">
        <v>26.3</v>
      </c>
      <c r="F38" s="345">
        <v>21.6</v>
      </c>
      <c r="G38" s="345">
        <v>34.200000000000003</v>
      </c>
      <c r="H38" s="345">
        <v>66.5</v>
      </c>
      <c r="I38" s="353">
        <v>39.799999999999997</v>
      </c>
      <c r="J38" s="98">
        <f t="shared" ref="J38:J45" si="6">SUM(B38:I38)</f>
        <v>305</v>
      </c>
      <c r="K38" s="49"/>
      <c r="L38" s="42"/>
      <c r="M38" s="42"/>
      <c r="N38" s="42"/>
      <c r="O38" s="2"/>
      <c r="P38" s="146" t="s">
        <v>51</v>
      </c>
      <c r="Q38" s="346">
        <v>11.7</v>
      </c>
      <c r="R38" s="342">
        <v>17.2</v>
      </c>
      <c r="S38" s="342">
        <v>12</v>
      </c>
      <c r="T38" s="264">
        <f t="shared" ref="T38:T45" si="7">SUM(Q38:S38)</f>
        <v>40.9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33.200000000000003</v>
      </c>
      <c r="C39" s="282">
        <v>46.8</v>
      </c>
      <c r="D39" s="282">
        <v>36.6</v>
      </c>
      <c r="E39" s="282">
        <v>26.3</v>
      </c>
      <c r="F39" s="282">
        <v>21.6</v>
      </c>
      <c r="G39" s="282">
        <v>34.200000000000003</v>
      </c>
      <c r="H39" s="282">
        <v>66.5</v>
      </c>
      <c r="I39" s="284">
        <v>39.799999999999997</v>
      </c>
      <c r="J39" s="98">
        <f t="shared" si="6"/>
        <v>305</v>
      </c>
      <c r="K39" s="309"/>
      <c r="L39" s="42"/>
      <c r="M39" s="42"/>
      <c r="N39" s="42"/>
      <c r="O39" s="2"/>
      <c r="P39" s="146" t="s">
        <v>24</v>
      </c>
      <c r="Q39" s="346">
        <v>11.7</v>
      </c>
      <c r="R39" s="342">
        <v>17.2</v>
      </c>
      <c r="S39" s="342">
        <v>12</v>
      </c>
      <c r="T39" s="264">
        <f t="shared" si="7"/>
        <v>40.9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36.299999999999997</v>
      </c>
      <c r="C40" s="19">
        <v>51.2</v>
      </c>
      <c r="D40" s="19">
        <v>40</v>
      </c>
      <c r="E40" s="19">
        <v>28.4</v>
      </c>
      <c r="F40" s="19">
        <v>23.8</v>
      </c>
      <c r="G40" s="19">
        <v>37.6</v>
      </c>
      <c r="H40" s="19">
        <v>73.400000000000006</v>
      </c>
      <c r="I40" s="20">
        <v>43.6</v>
      </c>
      <c r="J40" s="98">
        <f t="shared" si="6"/>
        <v>334.30000000000007</v>
      </c>
      <c r="K40" s="49"/>
      <c r="L40" s="196"/>
      <c r="M40" s="196"/>
      <c r="N40" s="196"/>
      <c r="O40" s="2"/>
      <c r="P40" s="146" t="s">
        <v>20</v>
      </c>
      <c r="Q40" s="18">
        <v>12.8</v>
      </c>
      <c r="R40" s="19">
        <v>18.600000000000001</v>
      </c>
      <c r="S40" s="19">
        <v>13.1</v>
      </c>
      <c r="T40" s="264">
        <f t="shared" si="7"/>
        <v>44.5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36.299999999999997</v>
      </c>
      <c r="C41" s="19">
        <v>51.2</v>
      </c>
      <c r="D41" s="19">
        <v>40</v>
      </c>
      <c r="E41" s="19">
        <v>28.4</v>
      </c>
      <c r="F41" s="19">
        <v>23.8</v>
      </c>
      <c r="G41" s="19">
        <v>37.6</v>
      </c>
      <c r="H41" s="19">
        <v>73.400000000000006</v>
      </c>
      <c r="I41" s="20">
        <v>43.7</v>
      </c>
      <c r="J41" s="98">
        <f t="shared" si="6"/>
        <v>334.40000000000003</v>
      </c>
      <c r="K41" s="49"/>
      <c r="L41" s="2"/>
      <c r="M41" s="2"/>
      <c r="N41" s="2"/>
      <c r="O41" s="2"/>
      <c r="P41" s="146" t="s">
        <v>28</v>
      </c>
      <c r="Q41" s="18">
        <v>12.8</v>
      </c>
      <c r="R41" s="19">
        <v>18.600000000000001</v>
      </c>
      <c r="S41" s="19">
        <v>13.1</v>
      </c>
      <c r="T41" s="264">
        <f t="shared" si="7"/>
        <v>44.5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36.299999999999997</v>
      </c>
      <c r="C42" s="19">
        <v>51.2</v>
      </c>
      <c r="D42" s="19">
        <v>40</v>
      </c>
      <c r="E42" s="19">
        <v>28.4</v>
      </c>
      <c r="F42" s="19">
        <v>23.8</v>
      </c>
      <c r="G42" s="19">
        <v>37.700000000000003</v>
      </c>
      <c r="H42" s="19">
        <v>73.400000000000006</v>
      </c>
      <c r="I42" s="20">
        <v>43.7</v>
      </c>
      <c r="J42" s="98">
        <f t="shared" si="6"/>
        <v>334.50000000000006</v>
      </c>
      <c r="K42" s="49"/>
      <c r="L42" s="222"/>
      <c r="M42" s="222"/>
      <c r="N42" s="222"/>
      <c r="O42" s="2"/>
      <c r="P42" s="146" t="s">
        <v>21</v>
      </c>
      <c r="Q42" s="18">
        <v>12.8</v>
      </c>
      <c r="R42" s="19">
        <v>18.7</v>
      </c>
      <c r="S42" s="19">
        <v>13.2</v>
      </c>
      <c r="T42" s="264">
        <f t="shared" si="7"/>
        <v>44.7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36.299999999999997</v>
      </c>
      <c r="C43" s="19">
        <v>51.2</v>
      </c>
      <c r="D43" s="19">
        <v>40</v>
      </c>
      <c r="E43" s="19">
        <v>28.5</v>
      </c>
      <c r="F43" s="19">
        <v>23.8</v>
      </c>
      <c r="G43" s="19">
        <v>37.700000000000003</v>
      </c>
      <c r="H43" s="19">
        <v>73.400000000000006</v>
      </c>
      <c r="I43" s="20">
        <v>43.7</v>
      </c>
      <c r="J43" s="98">
        <f t="shared" si="6"/>
        <v>334.59999999999997</v>
      </c>
      <c r="K43" s="49"/>
      <c r="L43" s="43"/>
      <c r="M43" s="43"/>
      <c r="N43" s="43"/>
      <c r="O43" s="2"/>
      <c r="P43" s="146" t="s">
        <v>22</v>
      </c>
      <c r="Q43" s="18">
        <v>12.8</v>
      </c>
      <c r="R43" s="19">
        <v>18.7</v>
      </c>
      <c r="S43" s="19">
        <v>13.2</v>
      </c>
      <c r="T43" s="264">
        <f t="shared" si="7"/>
        <v>44.7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36.299999999999997</v>
      </c>
      <c r="C44" s="19">
        <v>51.2</v>
      </c>
      <c r="D44" s="19">
        <v>40.1</v>
      </c>
      <c r="E44" s="19">
        <v>28.5</v>
      </c>
      <c r="F44" s="19">
        <v>23.9</v>
      </c>
      <c r="G44" s="19">
        <v>37.700000000000003</v>
      </c>
      <c r="H44" s="19">
        <v>73.400000000000006</v>
      </c>
      <c r="I44" s="20">
        <v>43.7</v>
      </c>
      <c r="J44" s="272">
        <f t="shared" si="6"/>
        <v>334.8</v>
      </c>
      <c r="K44" s="49"/>
      <c r="L44" s="41"/>
      <c r="M44" s="41"/>
      <c r="N44" s="41"/>
      <c r="O44" s="2"/>
      <c r="P44" s="146" t="s">
        <v>23</v>
      </c>
      <c r="Q44" s="18">
        <v>12.8</v>
      </c>
      <c r="R44" s="19">
        <v>18.7</v>
      </c>
      <c r="S44" s="19">
        <v>13.2</v>
      </c>
      <c r="T44" s="265">
        <f t="shared" si="7"/>
        <v>44.7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247.90000000000003</v>
      </c>
      <c r="C45" s="120">
        <f t="shared" si="8"/>
        <v>349.59999999999997</v>
      </c>
      <c r="D45" s="120">
        <f t="shared" si="8"/>
        <v>273.3</v>
      </c>
      <c r="E45" s="120">
        <f t="shared" si="8"/>
        <v>194.8</v>
      </c>
      <c r="F45" s="120">
        <f t="shared" si="8"/>
        <v>162.30000000000001</v>
      </c>
      <c r="G45" s="120">
        <f t="shared" si="8"/>
        <v>256.7</v>
      </c>
      <c r="H45" s="120">
        <f t="shared" si="8"/>
        <v>500</v>
      </c>
      <c r="I45" s="121">
        <f t="shared" si="8"/>
        <v>297.99999999999994</v>
      </c>
      <c r="J45" s="252">
        <f t="shared" si="6"/>
        <v>2282.6</v>
      </c>
      <c r="K45" s="49"/>
      <c r="L45" s="42"/>
      <c r="M45" s="42"/>
      <c r="N45" s="42"/>
      <c r="P45" s="80" t="s">
        <v>9</v>
      </c>
      <c r="Q45" s="200">
        <f>SUM(Q38:Q44)</f>
        <v>87.399999999999991</v>
      </c>
      <c r="R45" s="201">
        <f>SUM(R38:R44)</f>
        <v>127.7</v>
      </c>
      <c r="S45" s="201">
        <f>SUM(S38:S44)</f>
        <v>89.800000000000011</v>
      </c>
      <c r="T45" s="313">
        <f t="shared" si="7"/>
        <v>304.89999999999998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92</v>
      </c>
      <c r="C46" s="24">
        <v>93</v>
      </c>
      <c r="D46" s="24">
        <v>95</v>
      </c>
      <c r="E46" s="24">
        <v>98</v>
      </c>
      <c r="F46" s="24">
        <v>97</v>
      </c>
      <c r="G46" s="24">
        <v>95.5</v>
      </c>
      <c r="H46" s="24">
        <v>93</v>
      </c>
      <c r="I46" s="25">
        <v>90</v>
      </c>
      <c r="J46" s="234">
        <f>+((J45/J47)/7)*1000</f>
        <v>93.675873107071041</v>
      </c>
      <c r="K46" s="50"/>
      <c r="L46" s="49"/>
      <c r="M46" s="49"/>
      <c r="N46" s="49"/>
      <c r="P46" s="93" t="s">
        <v>11</v>
      </c>
      <c r="Q46" s="63">
        <v>97.5</v>
      </c>
      <c r="R46" s="24">
        <v>96.5</v>
      </c>
      <c r="S46" s="24">
        <v>96.5</v>
      </c>
      <c r="T46" s="234">
        <f>+((T45/T47)/7)*1000</f>
        <v>96.793650793650784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537</v>
      </c>
      <c r="D47" s="27">
        <v>411</v>
      </c>
      <c r="E47" s="27">
        <v>284</v>
      </c>
      <c r="F47" s="27">
        <v>239</v>
      </c>
      <c r="G47" s="27">
        <v>384</v>
      </c>
      <c r="H47" s="27">
        <v>768</v>
      </c>
      <c r="I47" s="28">
        <v>473</v>
      </c>
      <c r="J47" s="256">
        <f>SUM(B47:I47)</f>
        <v>3481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189</v>
      </c>
      <c r="S47" s="79">
        <v>133</v>
      </c>
      <c r="T47" s="235">
        <f>SUM(Q47:S47)</f>
        <v>450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36.308</v>
      </c>
      <c r="C48" s="30">
        <f t="shared" ref="C48:I48" si="9">((((C46*7)*C47)/1000)-(C38+C39))/5</f>
        <v>51.197400000000002</v>
      </c>
      <c r="D48" s="30">
        <f t="shared" si="9"/>
        <v>40.023000000000003</v>
      </c>
      <c r="E48" s="30">
        <f t="shared" si="9"/>
        <v>28.444800000000004</v>
      </c>
      <c r="F48" s="30">
        <f t="shared" si="9"/>
        <v>23.816200000000002</v>
      </c>
      <c r="G48" s="30">
        <f t="shared" si="9"/>
        <v>37.660800000000002</v>
      </c>
      <c r="H48" s="30">
        <f t="shared" si="9"/>
        <v>73.393600000000006</v>
      </c>
      <c r="I48" s="30">
        <f t="shared" si="9"/>
        <v>43.678000000000004</v>
      </c>
      <c r="J48" s="257">
        <f>((J45*1000)/J47)/7</f>
        <v>93.675873107071041</v>
      </c>
      <c r="K48" s="192"/>
      <c r="L48" s="49"/>
      <c r="M48" s="49"/>
      <c r="N48" s="49"/>
      <c r="P48" s="72" t="s">
        <v>13</v>
      </c>
      <c r="Q48" s="65">
        <f>((((Q46*7)*Q47)/1000)-(Q38+Q39))/5</f>
        <v>12.792</v>
      </c>
      <c r="R48" s="65">
        <f>((((R46*7)*R47)/1000)-(R38+R39))/5</f>
        <v>18.6539</v>
      </c>
      <c r="S48" s="65">
        <f>((((S46*7)*S47)/1000)-(S38+S39))/5</f>
        <v>13.168299999999999</v>
      </c>
      <c r="T48" s="253">
        <f>((T45*1000)/T47)/7</f>
        <v>96.793650793650798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247.94</v>
      </c>
      <c r="C49" s="282">
        <f t="shared" si="10"/>
        <v>349.58699999999999</v>
      </c>
      <c r="D49" s="282">
        <f t="shared" si="10"/>
        <v>273.315</v>
      </c>
      <c r="E49" s="282">
        <f t="shared" si="10"/>
        <v>194.82400000000001</v>
      </c>
      <c r="F49" s="282">
        <f t="shared" si="10"/>
        <v>162.28100000000001</v>
      </c>
      <c r="G49" s="282">
        <f t="shared" si="10"/>
        <v>256.70400000000001</v>
      </c>
      <c r="H49" s="282">
        <f t="shared" si="10"/>
        <v>499.96800000000002</v>
      </c>
      <c r="I49" s="284">
        <f t="shared" si="10"/>
        <v>297.99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87.36</v>
      </c>
      <c r="R49" s="282">
        <f>((R47*R46)*7)/1000</f>
        <v>127.6695</v>
      </c>
      <c r="S49" s="282">
        <f>((S47*S46)*7)/1000</f>
        <v>89.841499999999996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91.98515769944342</v>
      </c>
      <c r="C50" s="38">
        <f t="shared" si="11"/>
        <v>93.003458366586855</v>
      </c>
      <c r="D50" s="38">
        <f t="shared" si="11"/>
        <v>94.994786235662161</v>
      </c>
      <c r="E50" s="38">
        <f t="shared" si="11"/>
        <v>97.987927565392354</v>
      </c>
      <c r="F50" s="38">
        <f t="shared" si="11"/>
        <v>97.011356843992843</v>
      </c>
      <c r="G50" s="38">
        <f t="shared" si="11"/>
        <v>95.498511904761898</v>
      </c>
      <c r="H50" s="38">
        <f t="shared" si="11"/>
        <v>93.005952380952365</v>
      </c>
      <c r="I50" s="39">
        <f t="shared" si="11"/>
        <v>90.003020235578362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97.544642857142847</v>
      </c>
      <c r="R50" s="38">
        <f>+(R45/R47)/7*1000</f>
        <v>96.523053665910808</v>
      </c>
      <c r="S50" s="38">
        <f>+(S45/S47)/7*1000</f>
        <v>96.455424274973154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3.999999999996362E-2</v>
      </c>
      <c r="C51" s="42">
        <f t="shared" ref="C51:I52" si="12">C49-C45</f>
        <v>-1.2999999999976808E-2</v>
      </c>
      <c r="D51" s="42">
        <f t="shared" si="12"/>
        <v>1.4999999999986358E-2</v>
      </c>
      <c r="E51" s="42">
        <f t="shared" si="12"/>
        <v>2.4000000000000909E-2</v>
      </c>
      <c r="F51" s="42">
        <f t="shared" si="12"/>
        <v>-1.9000000000005457E-2</v>
      </c>
      <c r="G51" s="42">
        <f t="shared" si="12"/>
        <v>4.0000000000190994E-3</v>
      </c>
      <c r="H51" s="42">
        <f t="shared" si="12"/>
        <v>-3.1999999999982265E-2</v>
      </c>
      <c r="I51" s="42">
        <f t="shared" si="12"/>
        <v>-9.9999999999340616E-3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-3.9999999999992042E-2</v>
      </c>
      <c r="R51" s="42">
        <f t="shared" si="13"/>
        <v>-3.0500000000003524E-2</v>
      </c>
      <c r="S51" s="42">
        <f t="shared" si="13"/>
        <v>4.1499999999984993E-2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-1.4842300556580312E-2</v>
      </c>
      <c r="C52" s="42">
        <f t="shared" si="12"/>
        <v>3.4583665868552771E-3</v>
      </c>
      <c r="D52" s="42">
        <f t="shared" si="12"/>
        <v>-5.2137643378387111E-3</v>
      </c>
      <c r="E52" s="42">
        <f t="shared" si="12"/>
        <v>-1.2072434607645732E-2</v>
      </c>
      <c r="F52" s="42">
        <f t="shared" si="12"/>
        <v>1.1356843992842869E-2</v>
      </c>
      <c r="G52" s="42">
        <f t="shared" si="12"/>
        <v>-1.4880952381020052E-3</v>
      </c>
      <c r="H52" s="42">
        <f t="shared" si="12"/>
        <v>5.9523809523653881E-3</v>
      </c>
      <c r="I52" s="42">
        <f t="shared" si="12"/>
        <v>3.0202355783615076E-3</v>
      </c>
      <c r="K52" s="41"/>
      <c r="L52" s="41"/>
      <c r="M52" s="41"/>
      <c r="N52" s="41"/>
      <c r="O52" s="42"/>
      <c r="P52" s="42"/>
      <c r="Q52" s="42">
        <f t="shared" si="13"/>
        <v>4.4642857142846992E-2</v>
      </c>
      <c r="R52" s="42">
        <f t="shared" si="13"/>
        <v>2.3053665910808263E-2</v>
      </c>
      <c r="S52" s="42">
        <f t="shared" si="13"/>
        <v>-4.4575725026845703E-2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8"/>
      <c r="P55" s="1018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1" t="s">
        <v>63</v>
      </c>
      <c r="C56" s="1032"/>
      <c r="D56" s="1032"/>
      <c r="E56" s="1032"/>
      <c r="F56" s="1032"/>
      <c r="G56" s="1033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17.7</v>
      </c>
      <c r="C59" s="349">
        <v>25.4</v>
      </c>
      <c r="D59" s="349">
        <v>33</v>
      </c>
      <c r="E59" s="349">
        <v>31.8</v>
      </c>
      <c r="F59" s="349">
        <v>39.799999999999997</v>
      </c>
      <c r="G59" s="264">
        <f t="shared" ref="G59:G65" si="14">SUM(B59:F59)</f>
        <v>147.69999999999999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17.7</v>
      </c>
      <c r="C60" s="285">
        <v>25.4</v>
      </c>
      <c r="D60" s="285">
        <v>33</v>
      </c>
      <c r="E60" s="285">
        <v>31.8</v>
      </c>
      <c r="F60" s="351">
        <v>39.799999999999997</v>
      </c>
      <c r="G60" s="264">
        <f t="shared" si="14"/>
        <v>147.69999999999999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19.2</v>
      </c>
      <c r="C61" s="61">
        <v>27.6</v>
      </c>
      <c r="D61" s="61">
        <v>35.700000000000003</v>
      </c>
      <c r="E61" s="61">
        <v>34.5</v>
      </c>
      <c r="F61" s="61">
        <v>43</v>
      </c>
      <c r="G61" s="264">
        <f t="shared" si="14"/>
        <v>160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19.2</v>
      </c>
      <c r="C62" s="61">
        <v>27.7</v>
      </c>
      <c r="D62" s="61">
        <v>35.799999999999997</v>
      </c>
      <c r="E62" s="61">
        <v>34.5</v>
      </c>
      <c r="F62" s="61">
        <v>43</v>
      </c>
      <c r="G62" s="264">
        <f t="shared" si="14"/>
        <v>160.19999999999999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19.2</v>
      </c>
      <c r="C63" s="61">
        <v>27.7</v>
      </c>
      <c r="D63" s="61">
        <v>35.799999999999997</v>
      </c>
      <c r="E63" s="61">
        <v>34.5</v>
      </c>
      <c r="F63" s="61">
        <v>43.1</v>
      </c>
      <c r="G63" s="264">
        <f t="shared" si="14"/>
        <v>160.29999999999998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19.2</v>
      </c>
      <c r="C64" s="61">
        <v>27.7</v>
      </c>
      <c r="D64" s="61">
        <v>35.799999999999997</v>
      </c>
      <c r="E64" s="61">
        <v>34.6</v>
      </c>
      <c r="F64" s="61">
        <v>43.1</v>
      </c>
      <c r="G64" s="264">
        <f t="shared" si="14"/>
        <v>160.39999999999998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19.2</v>
      </c>
      <c r="C65" s="61">
        <v>27.7</v>
      </c>
      <c r="D65" s="61">
        <v>35.799999999999997</v>
      </c>
      <c r="E65" s="61">
        <v>34.6</v>
      </c>
      <c r="F65" s="61">
        <v>43.1</v>
      </c>
      <c r="G65" s="265">
        <f t="shared" si="14"/>
        <v>160.39999999999998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131.4</v>
      </c>
      <c r="C66" s="120">
        <f t="shared" si="15"/>
        <v>189.2</v>
      </c>
      <c r="D66" s="120">
        <f t="shared" si="15"/>
        <v>244.90000000000003</v>
      </c>
      <c r="E66" s="120">
        <f t="shared" si="15"/>
        <v>236.29999999999998</v>
      </c>
      <c r="F66" s="120">
        <f t="shared" si="15"/>
        <v>294.89999999999998</v>
      </c>
      <c r="G66" s="326">
        <f t="shared" si="15"/>
        <v>1096.6999999999998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102</v>
      </c>
      <c r="C67" s="24">
        <v>102</v>
      </c>
      <c r="D67" s="24">
        <v>102</v>
      </c>
      <c r="E67" s="24">
        <v>102</v>
      </c>
      <c r="F67" s="24">
        <v>102</v>
      </c>
      <c r="G67" s="234">
        <f>+((G66/G68)/7)*1000</f>
        <v>101.99962797619045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184</v>
      </c>
      <c r="C68" s="278">
        <v>265</v>
      </c>
      <c r="D68" s="278">
        <v>343</v>
      </c>
      <c r="E68" s="278">
        <v>331</v>
      </c>
      <c r="F68" s="278">
        <v>413</v>
      </c>
      <c r="G68" s="235">
        <f>SUM(B68:F68)</f>
        <v>1536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19.1952</v>
      </c>
      <c r="C69" s="30">
        <f>((((C67*7)*C68)/1000)-(C59+C60))/5</f>
        <v>27.682000000000006</v>
      </c>
      <c r="D69" s="30">
        <f>((((D67*7)*D68)/1000)-(D59+D60))/5</f>
        <v>35.7804</v>
      </c>
      <c r="E69" s="30">
        <f>((((E67*7)*E68)/1000)-(E59+E60))/5</f>
        <v>34.546800000000005</v>
      </c>
      <c r="F69" s="30">
        <f>((((F67*7)*F68)/1000)-(F59+F60))/5</f>
        <v>43.056400000000004</v>
      </c>
      <c r="G69" s="257">
        <f>((G66*1000)/G68)/7</f>
        <v>101.99962797619045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131.376</v>
      </c>
      <c r="C70" s="282">
        <f>((C68*C67)*7)/1000</f>
        <v>189.21</v>
      </c>
      <c r="D70" s="282">
        <f>((D68*D67)*7)/1000</f>
        <v>244.90199999999999</v>
      </c>
      <c r="E70" s="282">
        <f>((E68*E67)*7)/1000</f>
        <v>236.334</v>
      </c>
      <c r="F70" s="282">
        <f>((F68*F67)*7)/1000</f>
        <v>294.88200000000001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102.01863354037268</v>
      </c>
      <c r="C71" s="38">
        <f>+(C66/C68)/7*1000</f>
        <v>101.99460916442048</v>
      </c>
      <c r="D71" s="38">
        <f>+(D66/D68)/7*1000</f>
        <v>101.9991670137443</v>
      </c>
      <c r="E71" s="38">
        <f>+(E66/E68)/7*1000</f>
        <v>101.98532585239532</v>
      </c>
      <c r="F71" s="38">
        <f>+(F66/F68)/7*1000</f>
        <v>102.00622621930127</v>
      </c>
      <c r="G71" s="237"/>
      <c r="U71" s="3"/>
    </row>
    <row r="72" spans="1:32" ht="33.75" customHeight="1" x14ac:dyDescent="0.25">
      <c r="B72" s="42">
        <f>B70-B66</f>
        <v>-2.4000000000000909E-2</v>
      </c>
      <c r="C72" s="42">
        <f t="shared" ref="C72:F73" si="16">C70-C66</f>
        <v>1.0000000000019327E-2</v>
      </c>
      <c r="D72" s="42">
        <f t="shared" si="16"/>
        <v>1.9999999999527063E-3</v>
      </c>
      <c r="E72" s="42">
        <f t="shared" si="16"/>
        <v>3.4000000000020236E-2</v>
      </c>
      <c r="F72" s="42">
        <f t="shared" si="16"/>
        <v>-1.799999999997226E-2</v>
      </c>
    </row>
    <row r="73" spans="1:32" ht="33.75" customHeight="1" x14ac:dyDescent="0.25">
      <c r="B73" s="42">
        <f>B71-B67</f>
        <v>1.8633540372675839E-2</v>
      </c>
      <c r="C73" s="42">
        <f t="shared" si="16"/>
        <v>-5.3908355795186935E-3</v>
      </c>
      <c r="D73" s="42">
        <f t="shared" si="16"/>
        <v>-8.3298625570193963E-4</v>
      </c>
      <c r="E73" s="42">
        <f t="shared" si="16"/>
        <v>-1.4674147604679888E-2</v>
      </c>
      <c r="F73" s="42">
        <f t="shared" si="16"/>
        <v>6.2262193012685429E-3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Q35:T35"/>
    <mergeCell ref="A3:C3"/>
    <mergeCell ref="E9:G9"/>
    <mergeCell ref="W9:X9"/>
    <mergeCell ref="P11:Q11"/>
    <mergeCell ref="L14:P14"/>
    <mergeCell ref="Q14:Y14"/>
    <mergeCell ref="B15:K15"/>
    <mergeCell ref="L15:P15"/>
    <mergeCell ref="Q15:Y15"/>
    <mergeCell ref="B35:J35"/>
    <mergeCell ref="O55:P55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3"/>
  <dimension ref="A1:AK243"/>
  <sheetViews>
    <sheetView topLeftCell="L1" zoomScale="30" zoomScaleNormal="30" workbookViewId="0">
      <selection activeCell="Y27" sqref="Y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78</v>
      </c>
      <c r="Q11" s="1022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1"/>
      <c r="M14" s="1041"/>
      <c r="N14" s="1041"/>
      <c r="O14" s="1041"/>
      <c r="P14" s="1041"/>
      <c r="Q14" s="1041"/>
      <c r="R14" s="1041"/>
      <c r="S14" s="1041"/>
      <c r="T14" s="1041"/>
      <c r="U14" s="1041"/>
      <c r="V14" s="1041"/>
      <c r="W14" s="1041"/>
      <c r="X14" s="1041"/>
      <c r="Y14" s="1041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1025" t="s">
        <v>63</v>
      </c>
      <c r="M15" s="1026"/>
      <c r="N15" s="1026"/>
      <c r="O15" s="1026"/>
      <c r="P15" s="1030"/>
      <c r="Q15" s="1038" t="s">
        <v>8</v>
      </c>
      <c r="R15" s="1028"/>
      <c r="S15" s="1028"/>
      <c r="T15" s="1028"/>
      <c r="U15" s="1028"/>
      <c r="V15" s="1028"/>
      <c r="W15" s="1028"/>
      <c r="X15" s="1028"/>
      <c r="Y15" s="1028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3">
        <v>53.4</v>
      </c>
      <c r="Q18" s="341">
        <v>53.2</v>
      </c>
      <c r="R18" s="342">
        <v>79.3</v>
      </c>
      <c r="S18" s="342">
        <v>38.200000000000003</v>
      </c>
      <c r="T18" s="342">
        <v>33</v>
      </c>
      <c r="U18" s="342">
        <v>26.2</v>
      </c>
      <c r="V18" s="342">
        <v>53.1</v>
      </c>
      <c r="W18" s="342">
        <v>54</v>
      </c>
      <c r="X18" s="343">
        <v>54.1</v>
      </c>
      <c r="Y18" s="344">
        <v>65.900000000000006</v>
      </c>
      <c r="Z18" s="98">
        <f t="shared" ref="Z18:Z24" si="0">SUM(B18:Y18)</f>
        <v>1116.6000000000001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4">
        <v>53.4</v>
      </c>
      <c r="Q19" s="341">
        <v>53.2</v>
      </c>
      <c r="R19" s="342">
        <v>79.3</v>
      </c>
      <c r="S19" s="342">
        <v>38.200000000000003</v>
      </c>
      <c r="T19" s="342">
        <v>33</v>
      </c>
      <c r="U19" s="342">
        <v>26.2</v>
      </c>
      <c r="V19" s="342">
        <v>53.1</v>
      </c>
      <c r="W19" s="342">
        <v>54</v>
      </c>
      <c r="X19" s="343">
        <v>54.1</v>
      </c>
      <c r="Y19" s="344">
        <v>65.900000000000006</v>
      </c>
      <c r="Z19" s="98">
        <f t="shared" si="0"/>
        <v>1116.6000000000001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20">
        <v>56.5</v>
      </c>
      <c r="Q20" s="61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04">
        <v>57.1</v>
      </c>
      <c r="Y20" s="20">
        <v>70.3</v>
      </c>
      <c r="Z20" s="98">
        <f t="shared" si="0"/>
        <v>1185.3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23.3</v>
      </c>
      <c r="G21" s="19">
        <v>28.7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32.299999999999997</v>
      </c>
      <c r="M21" s="19">
        <v>32.9</v>
      </c>
      <c r="N21" s="19">
        <v>47.7</v>
      </c>
      <c r="O21" s="19">
        <v>60.7</v>
      </c>
      <c r="P21" s="20">
        <v>56.5</v>
      </c>
      <c r="Q21" s="61">
        <v>56.7</v>
      </c>
      <c r="R21" s="19">
        <v>84.6</v>
      </c>
      <c r="S21" s="19">
        <v>40.299999999999997</v>
      </c>
      <c r="T21" s="19">
        <v>34.6</v>
      </c>
      <c r="U21" s="19">
        <v>27.9</v>
      </c>
      <c r="V21" s="19">
        <v>56.7</v>
      </c>
      <c r="W21" s="19">
        <v>57.3</v>
      </c>
      <c r="X21" s="104">
        <v>57.2</v>
      </c>
      <c r="Y21" s="20">
        <v>70.3</v>
      </c>
      <c r="Z21" s="98">
        <f t="shared" si="0"/>
        <v>1186.1000000000001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23.3</v>
      </c>
      <c r="G22" s="19">
        <v>28.8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32.299999999999997</v>
      </c>
      <c r="M22" s="19">
        <v>32.9</v>
      </c>
      <c r="N22" s="19">
        <v>47.7</v>
      </c>
      <c r="O22" s="19">
        <v>60.7</v>
      </c>
      <c r="P22" s="20">
        <v>56.5</v>
      </c>
      <c r="Q22" s="61">
        <v>56.8</v>
      </c>
      <c r="R22" s="19">
        <v>84.6</v>
      </c>
      <c r="S22" s="19">
        <v>40.4</v>
      </c>
      <c r="T22" s="19">
        <v>34.6</v>
      </c>
      <c r="U22" s="19">
        <v>27.9</v>
      </c>
      <c r="V22" s="19">
        <v>56.7</v>
      </c>
      <c r="W22" s="19">
        <v>57.3</v>
      </c>
      <c r="X22" s="104">
        <v>57.2</v>
      </c>
      <c r="Y22" s="20">
        <v>70.3</v>
      </c>
      <c r="Z22" s="98">
        <f t="shared" si="0"/>
        <v>1186.5000000000002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23.3</v>
      </c>
      <c r="G23" s="19">
        <v>28.8</v>
      </c>
      <c r="H23" s="19">
        <v>51.9</v>
      </c>
      <c r="I23" s="19">
        <v>79</v>
      </c>
      <c r="J23" s="19">
        <v>65.3</v>
      </c>
      <c r="K23" s="104">
        <v>32.9</v>
      </c>
      <c r="L23" s="18">
        <v>32.299999999999997</v>
      </c>
      <c r="M23" s="19">
        <v>33</v>
      </c>
      <c r="N23" s="19">
        <v>47.7</v>
      </c>
      <c r="O23" s="19">
        <v>60.7</v>
      </c>
      <c r="P23" s="20">
        <v>56.6</v>
      </c>
      <c r="Q23" s="61">
        <v>56.8</v>
      </c>
      <c r="R23" s="19">
        <v>84.7</v>
      </c>
      <c r="S23" s="19">
        <v>40.4</v>
      </c>
      <c r="T23" s="19">
        <v>34.6</v>
      </c>
      <c r="U23" s="19">
        <v>27.9</v>
      </c>
      <c r="V23" s="19">
        <v>56.7</v>
      </c>
      <c r="W23" s="19">
        <v>57.4</v>
      </c>
      <c r="X23" s="104">
        <v>57.2</v>
      </c>
      <c r="Y23" s="20">
        <v>70.3</v>
      </c>
      <c r="Z23" s="98">
        <f t="shared" si="0"/>
        <v>1187.1000000000001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18">
        <v>67.8</v>
      </c>
      <c r="C24" s="19">
        <v>43.1</v>
      </c>
      <c r="D24" s="19">
        <v>42.7</v>
      </c>
      <c r="E24" s="19">
        <v>36.200000000000003</v>
      </c>
      <c r="F24" s="19">
        <v>23.3</v>
      </c>
      <c r="G24" s="19">
        <v>28.8</v>
      </c>
      <c r="H24" s="19">
        <v>51.9</v>
      </c>
      <c r="I24" s="19">
        <v>79</v>
      </c>
      <c r="J24" s="19">
        <v>65.400000000000006</v>
      </c>
      <c r="K24" s="104">
        <v>32.9</v>
      </c>
      <c r="L24" s="18">
        <v>32.299999999999997</v>
      </c>
      <c r="M24" s="19">
        <v>33</v>
      </c>
      <c r="N24" s="19">
        <v>47.7</v>
      </c>
      <c r="O24" s="19">
        <v>60.7</v>
      </c>
      <c r="P24" s="20">
        <v>56.6</v>
      </c>
      <c r="Q24" s="61">
        <v>56.8</v>
      </c>
      <c r="R24" s="19">
        <v>84.7</v>
      </c>
      <c r="S24" s="19">
        <v>40.4</v>
      </c>
      <c r="T24" s="19">
        <v>34.6</v>
      </c>
      <c r="U24" s="19">
        <v>27.9</v>
      </c>
      <c r="V24" s="19">
        <v>56.7</v>
      </c>
      <c r="W24" s="19">
        <v>57.4</v>
      </c>
      <c r="X24" s="104">
        <v>57.2</v>
      </c>
      <c r="Y24" s="20">
        <v>70.400000000000006</v>
      </c>
      <c r="Z24" s="330">
        <f t="shared" si="0"/>
        <v>1187.5000000000005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160.60000000000002</v>
      </c>
      <c r="G25" s="120">
        <f t="shared" si="1"/>
        <v>198.20000000000002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222.2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19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238.89999999999998</v>
      </c>
      <c r="U25" s="120">
        <f t="shared" si="1"/>
        <v>191.8</v>
      </c>
      <c r="V25" s="120">
        <f t="shared" si="1"/>
        <v>389.7</v>
      </c>
      <c r="W25" s="120">
        <f t="shared" si="1"/>
        <v>394.7</v>
      </c>
      <c r="X25" s="268">
        <f t="shared" si="1"/>
        <v>394.09999999999997</v>
      </c>
      <c r="Y25" s="121">
        <f t="shared" si="1"/>
        <v>483.40000000000009</v>
      </c>
      <c r="Z25" s="326">
        <f>SUM(Z18:Z24)</f>
        <v>8165.7000000000007</v>
      </c>
      <c r="AB25" s="42"/>
    </row>
    <row r="26" spans="1:37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6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155">
        <v>100</v>
      </c>
      <c r="Y26" s="25">
        <v>97</v>
      </c>
      <c r="Z26" s="327">
        <f>((Z25/Z27)/7)*1000</f>
        <v>98.942202835332608</v>
      </c>
    </row>
    <row r="27" spans="1:37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225</v>
      </c>
      <c r="G27" s="27">
        <v>279</v>
      </c>
      <c r="H27" s="27">
        <v>508</v>
      </c>
      <c r="I27" s="27">
        <v>780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28">
        <v>592</v>
      </c>
      <c r="Q27" s="64">
        <v>563</v>
      </c>
      <c r="R27" s="27">
        <v>827</v>
      </c>
      <c r="S27" s="27">
        <v>384</v>
      </c>
      <c r="T27" s="27">
        <v>325</v>
      </c>
      <c r="U27" s="27">
        <v>270</v>
      </c>
      <c r="V27" s="27">
        <v>554</v>
      </c>
      <c r="W27" s="27">
        <v>561</v>
      </c>
      <c r="X27" s="156">
        <v>563</v>
      </c>
      <c r="Y27" s="28">
        <v>712</v>
      </c>
      <c r="Z27" s="328">
        <f>SUM(B27:Y27)</f>
        <v>11790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67.711699999999993</v>
      </c>
      <c r="C28" s="30">
        <f>((((C26*7)*C27)/1000)-(C18+C19))/5</f>
        <v>43.08</v>
      </c>
      <c r="D28" s="30">
        <f t="shared" ref="D28:Y28" si="2">((((D26*7)*D27)/1000)-(D18+D19))/5</f>
        <v>42.6646</v>
      </c>
      <c r="E28" s="30">
        <f t="shared" si="2"/>
        <v>36.127799999999993</v>
      </c>
      <c r="F28" s="30">
        <f t="shared" si="2"/>
        <v>23.29</v>
      </c>
      <c r="G28" s="30">
        <f t="shared" si="2"/>
        <v>28.765899999999998</v>
      </c>
      <c r="H28" s="30">
        <f t="shared" si="2"/>
        <v>51.835599999999999</v>
      </c>
      <c r="I28" s="30">
        <f t="shared" si="2"/>
        <v>78.974000000000004</v>
      </c>
      <c r="J28" s="30">
        <f t="shared" si="2"/>
        <v>65.313500000000005</v>
      </c>
      <c r="K28" s="356">
        <f t="shared" si="2"/>
        <v>32.830600000000004</v>
      </c>
      <c r="L28" s="30">
        <f t="shared" si="2"/>
        <v>32.276700000000005</v>
      </c>
      <c r="M28" s="30">
        <f t="shared" si="2"/>
        <v>32.938499999999998</v>
      </c>
      <c r="N28" s="30">
        <f t="shared" si="2"/>
        <v>47.707199999999993</v>
      </c>
      <c r="O28" s="30">
        <f t="shared" si="2"/>
        <v>60.677800000000005</v>
      </c>
      <c r="P28" s="30">
        <f t="shared" si="2"/>
        <v>56.547199999999997</v>
      </c>
      <c r="Q28" s="30">
        <f t="shared" si="2"/>
        <v>56.751800000000003</v>
      </c>
      <c r="R28" s="30">
        <f t="shared" si="2"/>
        <v>84.638899999999992</v>
      </c>
      <c r="S28" s="30">
        <f t="shared" si="2"/>
        <v>40.361600000000003</v>
      </c>
      <c r="T28" s="30">
        <f t="shared" si="2"/>
        <v>34.575000000000003</v>
      </c>
      <c r="U28" s="30">
        <f t="shared" si="2"/>
        <v>27.887</v>
      </c>
      <c r="V28" s="30">
        <f t="shared" si="2"/>
        <v>56.707799999999999</v>
      </c>
      <c r="W28" s="30">
        <f t="shared" si="2"/>
        <v>57.332700000000003</v>
      </c>
      <c r="X28" s="30">
        <f t="shared" si="2"/>
        <v>57.180000000000007</v>
      </c>
      <c r="Y28" s="30">
        <f t="shared" si="2"/>
        <v>70.329599999999999</v>
      </c>
      <c r="Z28" s="329">
        <f>((Z25*1000)/7)/Z27</f>
        <v>98.942202835332623</v>
      </c>
      <c r="AB28" s="43"/>
    </row>
    <row r="29" spans="1:37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160.65</v>
      </c>
      <c r="G29" s="282">
        <f t="shared" si="3"/>
        <v>198.2295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222.18350000000001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5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238.875</v>
      </c>
      <c r="U29" s="282">
        <f t="shared" si="3"/>
        <v>191.83500000000001</v>
      </c>
      <c r="V29" s="282">
        <f t="shared" si="3"/>
        <v>389.73899999999998</v>
      </c>
      <c r="W29" s="282">
        <f t="shared" si="3"/>
        <v>394.6635</v>
      </c>
      <c r="X29" s="283">
        <f t="shared" si="3"/>
        <v>394.1</v>
      </c>
      <c r="Y29" s="284">
        <f t="shared" si="3"/>
        <v>483.44799999999998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101.96825396825398</v>
      </c>
      <c r="G30" s="38">
        <f t="shared" si="4"/>
        <v>101.48489503328214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99.507389162561566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6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105.01098901098901</v>
      </c>
      <c r="U30" s="38">
        <f t="shared" si="4"/>
        <v>101.4814814814815</v>
      </c>
      <c r="V30" s="38">
        <f t="shared" si="4"/>
        <v>100.48994326972667</v>
      </c>
      <c r="W30" s="38">
        <f t="shared" si="4"/>
        <v>100.50929462694168</v>
      </c>
      <c r="X30" s="158">
        <f t="shared" si="4"/>
        <v>99.999999999999986</v>
      </c>
      <c r="Y30" s="39">
        <f t="shared" si="4"/>
        <v>96.990369181380444</v>
      </c>
      <c r="Z30" s="237"/>
      <c r="AB30" s="42"/>
    </row>
    <row r="31" spans="1:37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4.9999999999982947E-2</v>
      </c>
      <c r="G31" s="42">
        <f t="shared" si="5"/>
        <v>2.9499999999984539E-2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-1.6499999999979309E-2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-2.4999999999977263E-2</v>
      </c>
      <c r="U31" s="42">
        <f t="shared" si="5"/>
        <v>3.4999999999996589E-2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-3.1746031746024528E-2</v>
      </c>
      <c r="G32" s="42">
        <f t="shared" si="5"/>
        <v>-1.5104966717856882E-2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7.389162561565854E-3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1.0989010989007397E-2</v>
      </c>
      <c r="U32" s="42">
        <f t="shared" si="5"/>
        <v>-1.8518518518504834E-2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5" t="s">
        <v>8</v>
      </c>
      <c r="C35" s="1036"/>
      <c r="D35" s="1036"/>
      <c r="E35" s="1036"/>
      <c r="F35" s="1036"/>
      <c r="G35" s="1036"/>
      <c r="H35" s="1036"/>
      <c r="I35" s="1036"/>
      <c r="J35" s="1037"/>
      <c r="K35" s="244"/>
      <c r="L35" s="42"/>
      <c r="M35" s="42"/>
      <c r="N35" s="42"/>
      <c r="O35" s="44"/>
      <c r="P35" s="88" t="s">
        <v>18</v>
      </c>
      <c r="Q35" s="1031" t="s">
        <v>8</v>
      </c>
      <c r="R35" s="1032"/>
      <c r="S35" s="1032"/>
      <c r="T35" s="1033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8"/>
      <c r="P55" s="1018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1" t="s">
        <v>63</v>
      </c>
      <c r="C56" s="1032"/>
      <c r="D56" s="1032"/>
      <c r="E56" s="1032"/>
      <c r="F56" s="1032"/>
      <c r="G56" s="1033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Y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4"/>
  <dimension ref="A1:AL243"/>
  <sheetViews>
    <sheetView topLeftCell="P4" zoomScale="30" zoomScaleNormal="30" workbookViewId="0">
      <selection activeCell="AF29" sqref="AF29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78</v>
      </c>
      <c r="Q11" s="1022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1"/>
      <c r="M14" s="1041"/>
      <c r="N14" s="1041"/>
      <c r="O14" s="1041"/>
      <c r="P14" s="1041"/>
      <c r="Q14" s="1041"/>
      <c r="R14" s="1041"/>
      <c r="S14" s="1041"/>
      <c r="T14" s="1041"/>
      <c r="U14" s="1041"/>
      <c r="V14" s="1041"/>
      <c r="W14" s="1041"/>
      <c r="X14" s="1041"/>
      <c r="Y14" s="1041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1025" t="s">
        <v>63</v>
      </c>
      <c r="M15" s="1026"/>
      <c r="N15" s="1026"/>
      <c r="O15" s="1026"/>
      <c r="P15" s="1030"/>
      <c r="Q15" s="1025" t="s">
        <v>8</v>
      </c>
      <c r="R15" s="1026"/>
      <c r="S15" s="1026"/>
      <c r="T15" s="1026"/>
      <c r="U15" s="1026"/>
      <c r="V15" s="1026"/>
      <c r="W15" s="1026"/>
      <c r="X15" s="1026"/>
      <c r="Y15" s="1026"/>
      <c r="Z15" s="1026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>SUM(Z18:Z24)</f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357">
        <v>213</v>
      </c>
      <c r="G27" s="357">
        <v>269</v>
      </c>
      <c r="H27" s="27">
        <v>508</v>
      </c>
      <c r="I27" s="27">
        <v>780</v>
      </c>
      <c r="J27" s="27">
        <v>659</v>
      </c>
      <c r="K27" s="28">
        <v>338</v>
      </c>
      <c r="L27" s="36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357">
        <v>306</v>
      </c>
      <c r="U27" s="357">
        <v>255</v>
      </c>
      <c r="V27" s="27">
        <v>554</v>
      </c>
      <c r="W27" s="27">
        <v>561</v>
      </c>
      <c r="X27" s="27">
        <v>563</v>
      </c>
      <c r="Y27" s="27">
        <v>712</v>
      </c>
      <c r="Z27" s="28">
        <v>66</v>
      </c>
      <c r="AA27" s="29">
        <f>SUM(B27:Z27)</f>
        <v>11778</v>
      </c>
      <c r="AB27" s="367" t="s">
        <v>79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Y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57.180000000000007</v>
      </c>
      <c r="Y28" s="31">
        <f t="shared" si="2"/>
        <v>70.329599999999999</v>
      </c>
      <c r="Z28" s="32">
        <f>((((Z26*7)*Z27)/1000)-(Z18+Z19))/5</f>
        <v>8.7780000000000005</v>
      </c>
      <c r="AA28" s="362">
        <f>((AA25*1000)/7)/AA27</f>
        <v>99.028454988719915</v>
      </c>
      <c r="AB28" s="367" t="s">
        <v>80</v>
      </c>
      <c r="AC28" s="43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394.1</v>
      </c>
      <c r="Y29" s="282">
        <f t="shared" si="3"/>
        <v>483.44799999999998</v>
      </c>
      <c r="Z29" s="284">
        <f>((Z27*Z26)*7)/1000</f>
        <v>43.89</v>
      </c>
      <c r="AA29" s="36"/>
      <c r="AC29" s="41"/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99.999999999999986</v>
      </c>
      <c r="Y30" s="38">
        <f t="shared" si="4"/>
        <v>96.990369181380444</v>
      </c>
      <c r="Z30" s="39">
        <f>+(Z25/Z27)/7*1000</f>
        <v>68.398268398268399</v>
      </c>
      <c r="AA30" s="40"/>
      <c r="AC30" s="42"/>
    </row>
    <row r="31" spans="1:38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>
        <f>Z29-Z25</f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>
        <f>Z30-Z26</f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5" t="s">
        <v>8</v>
      </c>
      <c r="C35" s="1036"/>
      <c r="D35" s="1036"/>
      <c r="E35" s="1036"/>
      <c r="F35" s="1036"/>
      <c r="G35" s="1036"/>
      <c r="H35" s="1036"/>
      <c r="I35" s="1036"/>
      <c r="J35" s="1037"/>
      <c r="K35" s="244"/>
      <c r="L35" s="42"/>
      <c r="M35" s="42"/>
      <c r="N35" s="42"/>
      <c r="O35" s="44"/>
      <c r="P35" s="88" t="s">
        <v>18</v>
      </c>
      <c r="Q35" s="1031" t="s">
        <v>8</v>
      </c>
      <c r="R35" s="1032"/>
      <c r="S35" s="1032"/>
      <c r="T35" s="1033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8"/>
      <c r="P55" s="1018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1" t="s">
        <v>63</v>
      </c>
      <c r="C56" s="1032"/>
      <c r="D56" s="1032"/>
      <c r="E56" s="1032"/>
      <c r="F56" s="1032"/>
      <c r="G56" s="1033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Q15:Z15"/>
    <mergeCell ref="B15:K15"/>
    <mergeCell ref="L15:P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5"/>
  <dimension ref="A1:AL243"/>
  <sheetViews>
    <sheetView topLeftCell="N5" zoomScale="30" zoomScaleNormal="30" workbookViewId="0">
      <selection activeCell="AC30" sqref="AC30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78</v>
      </c>
      <c r="Q11" s="1022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1"/>
      <c r="M14" s="1041"/>
      <c r="N14" s="1041"/>
      <c r="O14" s="1041"/>
      <c r="P14" s="1041"/>
      <c r="Q14" s="1041"/>
      <c r="R14" s="1041"/>
      <c r="S14" s="1041"/>
      <c r="T14" s="1041"/>
      <c r="U14" s="1041"/>
      <c r="V14" s="1041"/>
      <c r="W14" s="1041"/>
      <c r="X14" s="1041"/>
      <c r="Y14" s="1041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1025" t="s">
        <v>63</v>
      </c>
      <c r="M15" s="1026"/>
      <c r="N15" s="1026"/>
      <c r="O15" s="1026"/>
      <c r="P15" s="1030"/>
      <c r="Q15" s="1025" t="s">
        <v>8</v>
      </c>
      <c r="R15" s="1026"/>
      <c r="S15" s="1026"/>
      <c r="T15" s="1026"/>
      <c r="U15" s="1026"/>
      <c r="V15" s="1026"/>
      <c r="W15" s="1026"/>
      <c r="X15" s="1026"/>
      <c r="Y15" s="1026"/>
      <c r="Z15" s="1026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53.7</v>
      </c>
      <c r="Y20" s="19">
        <v>73.8</v>
      </c>
      <c r="Z20" s="20"/>
      <c r="AA20" s="98">
        <f t="shared" si="0"/>
        <v>1185.4000000000001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53.7</v>
      </c>
      <c r="Y21" s="19">
        <v>73.8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/>
      <c r="Y22" s="19"/>
      <c r="Z22" s="20">
        <v>7.9</v>
      </c>
      <c r="AA22" s="98">
        <f t="shared" si="0"/>
        <v>1058.5000000000002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/>
      <c r="Y23" s="19"/>
      <c r="Z23" s="20">
        <v>7.9</v>
      </c>
      <c r="AA23" s="98">
        <f t="shared" si="0"/>
        <v>1059.3000000000002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/>
      <c r="Y24" s="267"/>
      <c r="Z24" s="123">
        <v>7.9</v>
      </c>
      <c r="AA24" s="98">
        <f t="shared" si="0"/>
        <v>1059.9000000000003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Z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215.60000000000002</v>
      </c>
      <c r="Y25" s="120">
        <f t="shared" si="1"/>
        <v>279.40000000000003</v>
      </c>
      <c r="Z25" s="121">
        <f t="shared" si="1"/>
        <v>31.6</v>
      </c>
      <c r="AA25" s="361">
        <f>SUM(AA18:AA24)</f>
        <v>7782.0000000000018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94.389054653955341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94.389054653955327</v>
      </c>
      <c r="AB28" s="1042" t="s">
        <v>87</v>
      </c>
      <c r="AC28" s="1043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Z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58.44402277039849</v>
      </c>
      <c r="Y30" s="38">
        <f t="shared" si="4"/>
        <v>53.361344537815135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-4.1499999999984993E-2</v>
      </c>
      <c r="C31" s="42">
        <f t="shared" ref="C31:Z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153.29999999999995</v>
      </c>
      <c r="Y31" s="42">
        <f t="shared" si="5"/>
        <v>228.49199999999996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-41.55597722960151</v>
      </c>
      <c r="Y32" s="42">
        <f t="shared" si="5"/>
        <v>-43.638655462184865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5" t="s">
        <v>8</v>
      </c>
      <c r="C35" s="1036"/>
      <c r="D35" s="1036"/>
      <c r="E35" s="1036"/>
      <c r="F35" s="1036"/>
      <c r="G35" s="1036"/>
      <c r="H35" s="1036"/>
      <c r="I35" s="1036"/>
      <c r="J35" s="1037"/>
      <c r="K35" s="244"/>
      <c r="L35" s="42"/>
      <c r="M35" s="42"/>
      <c r="N35" s="42"/>
      <c r="O35" s="44"/>
      <c r="P35" s="88" t="s">
        <v>18</v>
      </c>
      <c r="Q35" s="1031" t="s">
        <v>8</v>
      </c>
      <c r="R35" s="1032"/>
      <c r="S35" s="1032"/>
      <c r="T35" s="1033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8"/>
      <c r="P55" s="1018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1" t="s">
        <v>63</v>
      </c>
      <c r="C56" s="1032"/>
      <c r="D56" s="1032"/>
      <c r="E56" s="1032"/>
      <c r="F56" s="1032"/>
      <c r="G56" s="1033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B56:G56"/>
    <mergeCell ref="AB28:AC28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26"/>
  <dimension ref="A1:AL243"/>
  <sheetViews>
    <sheetView topLeftCell="L11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78</v>
      </c>
      <c r="Q11" s="1022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1"/>
      <c r="M14" s="1041"/>
      <c r="N14" s="1041"/>
      <c r="O14" s="1041"/>
      <c r="P14" s="1041"/>
      <c r="Q14" s="1041"/>
      <c r="R14" s="1041"/>
      <c r="S14" s="1041"/>
      <c r="T14" s="1041"/>
      <c r="U14" s="1041"/>
      <c r="V14" s="1041"/>
      <c r="W14" s="1041"/>
      <c r="X14" s="1041"/>
      <c r="Y14" s="1041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1025" t="s">
        <v>63</v>
      </c>
      <c r="M15" s="1026"/>
      <c r="N15" s="1026"/>
      <c r="O15" s="1026"/>
      <c r="P15" s="1030"/>
      <c r="Q15" s="1025" t="s">
        <v>8</v>
      </c>
      <c r="R15" s="1026"/>
      <c r="S15" s="1026"/>
      <c r="T15" s="1026"/>
      <c r="U15" s="1026"/>
      <c r="V15" s="1026"/>
      <c r="W15" s="1026"/>
      <c r="X15" s="1026"/>
      <c r="Y15" s="1026"/>
      <c r="Z15" s="1026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51.6</v>
      </c>
      <c r="C24" s="267">
        <v>51.3</v>
      </c>
      <c r="D24" s="267">
        <v>50.7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77</v>
      </c>
      <c r="J24" s="267">
        <v>65.400000000000006</v>
      </c>
      <c r="K24" s="271">
        <v>32.9</v>
      </c>
      <c r="L24" s="18">
        <v>32.1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449.8</v>
      </c>
      <c r="C25" s="120">
        <f>SUM(C18:C24)</f>
        <v>305</v>
      </c>
      <c r="D25" s="120">
        <f t="shared" ref="D25:Z25" si="1">SUM(D18:D24)</f>
        <v>301.89999999999998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541.29999999999995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215.2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 t="shared" si="1"/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99.028454988719915</v>
      </c>
      <c r="AB28" s="1042" t="s">
        <v>87</v>
      </c>
      <c r="AC28" s="1043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96.04954089259023</v>
      </c>
      <c r="C30" s="38">
        <f t="shared" ref="C30:Z30" si="4">+(C25/C27)/7*1000</f>
        <v>102.76280323450135</v>
      </c>
      <c r="D30" s="38">
        <f t="shared" si="4"/>
        <v>102.20040622884223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99.139194139194132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103.51130351130351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106.83111954459203</v>
      </c>
      <c r="Y30" s="38">
        <f t="shared" si="4"/>
        <v>92.322383498854109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16.158500000000004</v>
      </c>
      <c r="C31" s="42">
        <f t="shared" ref="C31:Z32" si="5">C29-C25</f>
        <v>-8.1999999999999886</v>
      </c>
      <c r="D31" s="42">
        <f t="shared" si="5"/>
        <v>-7.9769999999999754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1.9700000000000273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-8.3394999999999868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-25.199999999999989</v>
      </c>
      <c r="Y31" s="42">
        <f t="shared" si="5"/>
        <v>24.491999999999905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-3.4504591074097704</v>
      </c>
      <c r="C32" s="42">
        <f t="shared" si="5"/>
        <v>2.762803234501348</v>
      </c>
      <c r="D32" s="42">
        <f t="shared" si="5"/>
        <v>2.7004062288422261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-0.36080586080586841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4.0113035113035096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6.8311195445920276</v>
      </c>
      <c r="Y32" s="42">
        <f t="shared" si="5"/>
        <v>-4.6776165011458914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>
        <f>B24/B27</f>
        <v>7.7130044843049334E-2</v>
      </c>
      <c r="C33" s="42">
        <f>C24/C27</f>
        <v>0.12099056603773584</v>
      </c>
      <c r="D33" s="42">
        <f>D24/D27</f>
        <v>0.12014218009478674</v>
      </c>
      <c r="E33" s="42"/>
      <c r="F33" s="42"/>
      <c r="G33" s="42"/>
      <c r="H33" s="42"/>
      <c r="I33" s="42">
        <f>I24/I27</f>
        <v>9.8717948717948714E-2</v>
      </c>
      <c r="J33" s="42"/>
      <c r="K33" s="42"/>
      <c r="L33" s="42">
        <f>L24/L27</f>
        <v>0.10808080808080808</v>
      </c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5" t="s">
        <v>8</v>
      </c>
      <c r="C35" s="1036"/>
      <c r="D35" s="1036"/>
      <c r="E35" s="1036"/>
      <c r="F35" s="1036"/>
      <c r="G35" s="1036"/>
      <c r="H35" s="1036"/>
      <c r="I35" s="1036"/>
      <c r="J35" s="1037"/>
      <c r="K35" s="244"/>
      <c r="L35" s="42"/>
      <c r="M35" s="42"/>
      <c r="N35" s="42"/>
      <c r="O35" s="44"/>
      <c r="P35" s="88" t="s">
        <v>18</v>
      </c>
      <c r="Q35" s="1031" t="s">
        <v>8</v>
      </c>
      <c r="R35" s="1032"/>
      <c r="S35" s="1032"/>
      <c r="T35" s="1033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8"/>
      <c r="P55" s="1018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1" t="s">
        <v>63</v>
      </c>
      <c r="C56" s="1032"/>
      <c r="D56" s="1032"/>
      <c r="E56" s="1032"/>
      <c r="F56" s="1032"/>
      <c r="G56" s="1033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O55:P55"/>
    <mergeCell ref="B56:G56"/>
    <mergeCell ref="B15:K15"/>
    <mergeCell ref="L15:P15"/>
    <mergeCell ref="Q15:Z15"/>
    <mergeCell ref="AB28:AC28"/>
    <mergeCell ref="B35:J35"/>
    <mergeCell ref="Q35:T3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27"/>
  <dimension ref="A1:AL243"/>
  <sheetViews>
    <sheetView topLeftCell="O7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88</v>
      </c>
      <c r="Q11" s="1022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1"/>
      <c r="M14" s="1041"/>
      <c r="N14" s="1041"/>
      <c r="O14" s="1041"/>
      <c r="P14" s="1041"/>
      <c r="Q14" s="1041"/>
      <c r="R14" s="1041"/>
      <c r="S14" s="1041"/>
      <c r="T14" s="1041"/>
      <c r="U14" s="1041"/>
      <c r="V14" s="1041"/>
      <c r="W14" s="1041"/>
      <c r="X14" s="1041"/>
      <c r="Y14" s="1041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1025" t="s">
        <v>63</v>
      </c>
      <c r="M15" s="1026"/>
      <c r="N15" s="1026"/>
      <c r="O15" s="1026"/>
      <c r="P15" s="1030"/>
      <c r="Q15" s="1025" t="s">
        <v>8</v>
      </c>
      <c r="R15" s="1026"/>
      <c r="S15" s="1026"/>
      <c r="T15" s="1026"/>
      <c r="U15" s="1026"/>
      <c r="V15" s="1026"/>
      <c r="W15" s="1026"/>
      <c r="X15" s="1026"/>
      <c r="Y15" s="1026"/>
      <c r="Z15" s="1026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380">
        <v>72.2</v>
      </c>
      <c r="P20" s="382">
        <v>54.7</v>
      </c>
      <c r="Q20" s="18">
        <v>60.4</v>
      </c>
      <c r="R20" s="19">
        <v>90</v>
      </c>
      <c r="S20" s="19">
        <v>43.2</v>
      </c>
      <c r="T20" s="19">
        <v>34.299999999999997</v>
      </c>
      <c r="U20" s="19">
        <v>28.2</v>
      </c>
      <c r="V20" s="19">
        <v>61</v>
      </c>
      <c r="W20" s="19">
        <v>61.8</v>
      </c>
      <c r="X20" s="383">
        <v>56.2</v>
      </c>
      <c r="Y20" s="380">
        <v>80.2</v>
      </c>
      <c r="Z20" s="20">
        <v>7</v>
      </c>
      <c r="AA20" s="98">
        <f t="shared" si="0"/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60.4</v>
      </c>
      <c r="R21" s="19">
        <v>90</v>
      </c>
      <c r="S21" s="19">
        <v>43.2</v>
      </c>
      <c r="T21" s="19">
        <v>34.299999999999997</v>
      </c>
      <c r="U21" s="19">
        <v>28.2</v>
      </c>
      <c r="V21" s="19">
        <v>61.1</v>
      </c>
      <c r="W21" s="19">
        <v>61.8</v>
      </c>
      <c r="X21" s="19">
        <v>56.3</v>
      </c>
      <c r="Y21" s="19">
        <v>80.2</v>
      </c>
      <c r="Z21" s="20">
        <v>7</v>
      </c>
      <c r="AA21" s="98">
        <f t="shared" si="0"/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60.4</v>
      </c>
      <c r="R22" s="19">
        <v>90</v>
      </c>
      <c r="S22" s="19">
        <v>43.2</v>
      </c>
      <c r="T22" s="19">
        <v>34.4</v>
      </c>
      <c r="U22" s="19">
        <v>28.2</v>
      </c>
      <c r="V22" s="19">
        <v>61.1</v>
      </c>
      <c r="W22" s="19">
        <v>61.9</v>
      </c>
      <c r="X22" s="19">
        <v>56.3</v>
      </c>
      <c r="Y22" s="19">
        <v>80.2</v>
      </c>
      <c r="Z22" s="20">
        <v>7</v>
      </c>
      <c r="AA22" s="98">
        <f t="shared" si="0"/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60.5</v>
      </c>
      <c r="R23" s="19">
        <v>90</v>
      </c>
      <c r="S23" s="19">
        <v>43.3</v>
      </c>
      <c r="T23" s="19">
        <v>34.4</v>
      </c>
      <c r="U23" s="19">
        <v>28.2</v>
      </c>
      <c r="V23" s="19">
        <v>61.1</v>
      </c>
      <c r="W23" s="19">
        <v>61.9</v>
      </c>
      <c r="X23" s="19">
        <v>56.3</v>
      </c>
      <c r="Y23" s="19">
        <v>80.2</v>
      </c>
      <c r="Z23" s="20">
        <v>7</v>
      </c>
      <c r="AA23" s="98">
        <f t="shared" si="0"/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60.5</v>
      </c>
      <c r="R24" s="19">
        <v>90</v>
      </c>
      <c r="S24" s="19">
        <v>43.3</v>
      </c>
      <c r="T24" s="19">
        <v>34.4</v>
      </c>
      <c r="U24" s="19">
        <v>28.2</v>
      </c>
      <c r="V24" s="19">
        <v>61.1</v>
      </c>
      <c r="W24" s="19">
        <v>61.9</v>
      </c>
      <c r="X24" s="19">
        <v>56.3</v>
      </c>
      <c r="Y24" s="19">
        <v>80.3</v>
      </c>
      <c r="Z24" s="20">
        <v>7</v>
      </c>
      <c r="AA24" s="98">
        <f t="shared" si="0"/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415.8</v>
      </c>
      <c r="R25" s="120">
        <f t="shared" si="1"/>
        <v>619.4</v>
      </c>
      <c r="S25" s="120">
        <f t="shared" si="1"/>
        <v>297</v>
      </c>
      <c r="T25" s="120">
        <f t="shared" si="1"/>
        <v>237.00000000000003</v>
      </c>
      <c r="U25" s="120">
        <f t="shared" si="1"/>
        <v>193.79999999999998</v>
      </c>
      <c r="V25" s="120">
        <f t="shared" si="1"/>
        <v>418.80000000000007</v>
      </c>
      <c r="W25" s="120">
        <f t="shared" si="1"/>
        <v>424.09999999999991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61">
        <f>SUM(AA18:AA24)</f>
        <v>8735.9000000000015</v>
      </c>
      <c r="AC25" s="42"/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99">
        <f>((AA25/AA27)/7)*1000</f>
        <v>106.08515082333514</v>
      </c>
    </row>
    <row r="27" spans="1:38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375">
        <v>679</v>
      </c>
      <c r="P27" s="376">
        <v>550</v>
      </c>
      <c r="Q27" s="26">
        <v>563</v>
      </c>
      <c r="R27" s="27">
        <v>827</v>
      </c>
      <c r="S27" s="27">
        <v>384</v>
      </c>
      <c r="T27" s="27">
        <v>301</v>
      </c>
      <c r="U27" s="27">
        <v>254</v>
      </c>
      <c r="V27" s="27">
        <v>554</v>
      </c>
      <c r="W27" s="27">
        <v>561</v>
      </c>
      <c r="X27" s="384">
        <v>526</v>
      </c>
      <c r="Y27" s="384">
        <v>748</v>
      </c>
      <c r="Z27" s="28">
        <v>66</v>
      </c>
      <c r="AA27" s="29">
        <f>SUM(B27:Z27)</f>
        <v>11764</v>
      </c>
      <c r="AB27" s="367" t="s">
        <v>82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60.435100000000013</v>
      </c>
      <c r="R28" s="31">
        <f t="shared" si="2"/>
        <v>90.004600000000011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28.200400000000002</v>
      </c>
      <c r="V28" s="31">
        <f t="shared" si="2"/>
        <v>61.084799999999994</v>
      </c>
      <c r="W28" s="31">
        <f t="shared" si="2"/>
        <v>61.863199999999992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62">
        <f>((AA25*1000)/7)/AA27</f>
        <v>106.08515082333514</v>
      </c>
    </row>
    <row r="29" spans="1:38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415.77550000000002</v>
      </c>
      <c r="R29" s="282">
        <f t="shared" si="3"/>
        <v>619.423</v>
      </c>
      <c r="S29" s="282">
        <f t="shared" si="3"/>
        <v>297.024</v>
      </c>
      <c r="T29" s="282">
        <f t="shared" si="3"/>
        <v>237.03749999999999</v>
      </c>
      <c r="U29" s="282">
        <f t="shared" si="3"/>
        <v>193.80199999999999</v>
      </c>
      <c r="V29" s="282">
        <f t="shared" si="3"/>
        <v>418.82400000000001</v>
      </c>
      <c r="W29" s="282">
        <f t="shared" si="3"/>
        <v>424.11599999999999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69"/>
      <c r="AB29" s="14"/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105.50621669626999</v>
      </c>
      <c r="R30" s="38">
        <f t="shared" si="4"/>
        <v>106.99602694765935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108.99887514060742</v>
      </c>
      <c r="V30" s="38">
        <f t="shared" si="4"/>
        <v>107.99381124290873</v>
      </c>
      <c r="W30" s="38">
        <f t="shared" si="4"/>
        <v>107.99592564298443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70"/>
      <c r="AB30" s="14"/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-2.4499999999989086E-2</v>
      </c>
      <c r="R31" s="42">
        <f t="shared" si="5"/>
        <v>2.3000000000024556E-2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2.0000000000095497E-3</v>
      </c>
      <c r="V31" s="42">
        <f t="shared" si="5"/>
        <v>2.3999999999944066E-2</v>
      </c>
      <c r="W31" s="42">
        <f t="shared" si="5"/>
        <v>1.6000000000076398E-2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6.2166962699876649E-3</v>
      </c>
      <c r="R32" s="42">
        <f t="shared" si="5"/>
        <v>-3.9730523406547036E-3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-1.1248593925756722E-3</v>
      </c>
      <c r="V32" s="42">
        <f t="shared" si="5"/>
        <v>-6.1887570912659839E-3</v>
      </c>
      <c r="W32" s="42">
        <f t="shared" si="5"/>
        <v>-4.0743570155683528E-3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78" t="s">
        <v>89</v>
      </c>
      <c r="P33" s="377"/>
      <c r="Q33" s="42"/>
      <c r="R33" s="42"/>
      <c r="S33" s="42"/>
      <c r="T33" s="42"/>
      <c r="U33" s="42"/>
      <c r="V33" s="42"/>
      <c r="W33" s="42"/>
      <c r="X33" s="378" t="s">
        <v>89</v>
      </c>
      <c r="Y33" s="385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79" t="s">
        <v>90</v>
      </c>
      <c r="P34" s="381" t="s">
        <v>91</v>
      </c>
      <c r="Q34" s="308"/>
      <c r="R34" s="308"/>
      <c r="S34" s="308"/>
      <c r="T34" s="308"/>
      <c r="U34" s="308"/>
      <c r="V34" s="308"/>
      <c r="W34" s="308"/>
      <c r="X34" s="381" t="s">
        <v>91</v>
      </c>
      <c r="Y34" s="386" t="s">
        <v>90</v>
      </c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5" t="s">
        <v>8</v>
      </c>
      <c r="C35" s="1036"/>
      <c r="D35" s="1036"/>
      <c r="E35" s="1036"/>
      <c r="F35" s="1036"/>
      <c r="G35" s="1036"/>
      <c r="H35" s="1036"/>
      <c r="I35" s="1036"/>
      <c r="J35" s="1037"/>
      <c r="K35" s="244"/>
      <c r="L35" s="42"/>
      <c r="M35" s="42"/>
      <c r="N35" s="42"/>
      <c r="O35" s="44"/>
      <c r="P35" s="88" t="s">
        <v>18</v>
      </c>
      <c r="Q35" s="1031" t="s">
        <v>8</v>
      </c>
      <c r="R35" s="1032"/>
      <c r="S35" s="1032"/>
      <c r="T35" s="1033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8"/>
      <c r="P55" s="1018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1" t="s">
        <v>63</v>
      </c>
      <c r="C56" s="1032"/>
      <c r="D56" s="1032"/>
      <c r="E56" s="1032"/>
      <c r="F56" s="1032"/>
      <c r="G56" s="1033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O55:P55"/>
    <mergeCell ref="B56:G56"/>
    <mergeCell ref="B15:K15"/>
    <mergeCell ref="L15:P15"/>
    <mergeCell ref="Q15:Z15"/>
    <mergeCell ref="B35:J35"/>
    <mergeCell ref="Q35:T3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28"/>
  <dimension ref="A1:AL243"/>
  <sheetViews>
    <sheetView topLeftCell="M5" zoomScale="30" zoomScaleNormal="30" workbookViewId="0">
      <selection activeCell="AC30" sqref="AC30:AC32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7.855468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88</v>
      </c>
      <c r="Q11" s="1022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1"/>
      <c r="M14" s="1041"/>
      <c r="N14" s="1041"/>
      <c r="O14" s="1041"/>
      <c r="P14" s="1041"/>
      <c r="Q14" s="1041"/>
      <c r="R14" s="1041"/>
      <c r="S14" s="1041"/>
      <c r="T14" s="1041"/>
      <c r="U14" s="1041"/>
      <c r="V14" s="1041"/>
      <c r="W14" s="1041"/>
      <c r="X14" s="1041"/>
      <c r="Y14" s="1041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1025" t="s">
        <v>63</v>
      </c>
      <c r="M15" s="1026"/>
      <c r="N15" s="1026"/>
      <c r="O15" s="1026"/>
      <c r="P15" s="1030"/>
      <c r="Q15" s="1025" t="s">
        <v>8</v>
      </c>
      <c r="R15" s="1026"/>
      <c r="S15" s="1026"/>
      <c r="T15" s="1026"/>
      <c r="U15" s="1026"/>
      <c r="V15" s="1026"/>
      <c r="W15" s="1026"/>
      <c r="X15" s="1026"/>
      <c r="Y15" s="1026"/>
      <c r="Z15" s="1026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244"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244"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244"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282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1271.8999999999999</v>
      </c>
      <c r="AB21" s="244"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282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1272.1999999999998</v>
      </c>
      <c r="AB22" s="244"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282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1272.3999999999996</v>
      </c>
      <c r="AB23" s="244"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282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1272.8999999999999</v>
      </c>
      <c r="AB24" s="244"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8735.7000000000007</v>
      </c>
      <c r="AC25" s="42"/>
      <c r="AE25" s="243">
        <v>8735.9000000000015</v>
      </c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106.09174044522172</v>
      </c>
      <c r="AE26" s="2">
        <v>106.08515082333514</v>
      </c>
    </row>
    <row r="27" spans="1:38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366">
        <v>560</v>
      </c>
      <c r="R27" s="357">
        <v>829</v>
      </c>
      <c r="S27" s="27">
        <v>384</v>
      </c>
      <c r="T27" s="27">
        <v>301</v>
      </c>
      <c r="U27" s="357">
        <v>275</v>
      </c>
      <c r="V27" s="357">
        <v>572</v>
      </c>
      <c r="W27" s="357">
        <v>522</v>
      </c>
      <c r="X27" s="27">
        <v>526</v>
      </c>
      <c r="Y27" s="27">
        <v>748</v>
      </c>
      <c r="Z27" s="28">
        <v>66</v>
      </c>
      <c r="AA27" s="328">
        <f>SUM(B27:Z27)</f>
        <v>11763</v>
      </c>
      <c r="AB27" s="367" t="s">
        <v>92</v>
      </c>
      <c r="AC27" s="222"/>
      <c r="AE27" s="2">
        <v>11764</v>
      </c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106.0917404452217</v>
      </c>
      <c r="AB28" s="391">
        <v>1</v>
      </c>
      <c r="AC28" s="392" t="s">
        <v>93</v>
      </c>
      <c r="AE28" s="2">
        <v>106.08515082333514</v>
      </c>
    </row>
    <row r="29" spans="1:38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394">
        <v>2</v>
      </c>
      <c r="AC29" s="395" t="s">
        <v>94</v>
      </c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396">
        <v>5</v>
      </c>
      <c r="AC30" s="397" t="s">
        <v>95</v>
      </c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398">
        <v>6</v>
      </c>
      <c r="AC31" s="284" t="s">
        <v>96</v>
      </c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thickBot="1" x14ac:dyDescent="0.3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399">
        <v>7</v>
      </c>
      <c r="AC32" s="39" t="s">
        <v>97</v>
      </c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5" t="s">
        <v>8</v>
      </c>
      <c r="C35" s="1036"/>
      <c r="D35" s="1036"/>
      <c r="E35" s="1036"/>
      <c r="F35" s="1036"/>
      <c r="G35" s="1036"/>
      <c r="H35" s="1036"/>
      <c r="I35" s="1036"/>
      <c r="J35" s="1037"/>
      <c r="K35" s="244"/>
      <c r="L35" s="42"/>
      <c r="M35" s="42"/>
      <c r="N35" s="42"/>
      <c r="O35" s="44"/>
      <c r="P35" s="88" t="s">
        <v>18</v>
      </c>
      <c r="Q35" s="1031" t="s">
        <v>8</v>
      </c>
      <c r="R35" s="1032"/>
      <c r="S35" s="1032"/>
      <c r="T35" s="1033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8"/>
      <c r="P55" s="1018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1" t="s">
        <v>63</v>
      </c>
      <c r="C56" s="1032"/>
      <c r="D56" s="1032"/>
      <c r="E56" s="1032"/>
      <c r="F56" s="1032"/>
      <c r="G56" s="1033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O55:P55"/>
    <mergeCell ref="B56:G56"/>
    <mergeCell ref="B15:K15"/>
    <mergeCell ref="L15:P15"/>
    <mergeCell ref="Q15:Z15"/>
    <mergeCell ref="B35:J35"/>
    <mergeCell ref="Q35:T3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29"/>
  <dimension ref="A1:AJ243"/>
  <sheetViews>
    <sheetView topLeftCell="M7" zoomScale="30" zoomScaleNormal="30" workbookViewId="0">
      <selection activeCell="W20" sqref="W2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88</v>
      </c>
      <c r="Q11" s="1022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1"/>
      <c r="M14" s="1041"/>
      <c r="N14" s="1041"/>
      <c r="O14" s="1041"/>
      <c r="P14" s="1041"/>
      <c r="Q14" s="1041"/>
      <c r="R14" s="1041"/>
      <c r="S14" s="1041"/>
      <c r="T14" s="1041"/>
      <c r="U14" s="1041"/>
      <c r="V14" s="1041"/>
      <c r="W14" s="1041"/>
      <c r="X14" s="1041"/>
      <c r="Y14" s="1041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1025" t="s">
        <v>63</v>
      </c>
      <c r="M15" s="1026"/>
      <c r="N15" s="1026"/>
      <c r="O15" s="1026"/>
      <c r="P15" s="1030"/>
      <c r="Q15" s="1025" t="s">
        <v>8</v>
      </c>
      <c r="R15" s="1026"/>
      <c r="S15" s="1026"/>
      <c r="T15" s="1026"/>
      <c r="U15" s="1026"/>
      <c r="V15" s="1026"/>
      <c r="W15" s="1026"/>
      <c r="X15" s="1026"/>
      <c r="Y15" s="1026"/>
      <c r="Z15" s="1026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6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6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6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6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6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6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6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6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6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6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400">
        <v>323</v>
      </c>
      <c r="F27" s="400">
        <v>243</v>
      </c>
      <c r="G27" s="401">
        <v>331</v>
      </c>
      <c r="H27" s="401">
        <v>444</v>
      </c>
      <c r="I27" s="27">
        <v>762</v>
      </c>
      <c r="J27" s="402">
        <v>612</v>
      </c>
      <c r="K27" s="403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  <c r="AB27" s="367" t="s">
        <v>98</v>
      </c>
    </row>
    <row r="28" spans="1:36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106.13373188009575</v>
      </c>
      <c r="AB28" s="406">
        <v>4</v>
      </c>
      <c r="AC28" s="392" t="s">
        <v>99</v>
      </c>
    </row>
    <row r="29" spans="1:36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407">
        <v>5</v>
      </c>
      <c r="AC29" s="395" t="s">
        <v>100</v>
      </c>
    </row>
    <row r="30" spans="1:36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404">
        <v>6</v>
      </c>
      <c r="AC30" s="397" t="s">
        <v>99</v>
      </c>
    </row>
    <row r="31" spans="1:36" ht="33.75" customHeight="1" thickBot="1" x14ac:dyDescent="0.3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05">
        <v>7</v>
      </c>
      <c r="AC31" s="39" t="s">
        <v>100</v>
      </c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06">
        <v>9</v>
      </c>
      <c r="AC32" s="355" t="s">
        <v>101</v>
      </c>
      <c r="AD32" s="42"/>
      <c r="AE32" s="42"/>
      <c r="AF32" s="42"/>
      <c r="AG32" s="42"/>
      <c r="AH32" s="42"/>
      <c r="AI32" s="42"/>
      <c r="AJ32" s="41"/>
    </row>
    <row r="33" spans="1:35" ht="33.75" customHeight="1" thickBot="1" x14ac:dyDescent="0.3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05">
        <v>10</v>
      </c>
      <c r="AC33" s="39" t="s">
        <v>102</v>
      </c>
      <c r="AD33" s="42"/>
      <c r="AE33" s="42"/>
      <c r="AF33" s="42"/>
      <c r="AG33" s="42"/>
      <c r="AH33" s="42"/>
      <c r="AI33" s="41"/>
    </row>
    <row r="34" spans="1:35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5" ht="33.75" customHeight="1" thickBot="1" x14ac:dyDescent="0.3">
      <c r="A35" s="179" t="s">
        <v>16</v>
      </c>
      <c r="B35" s="1035" t="s">
        <v>8</v>
      </c>
      <c r="C35" s="1036"/>
      <c r="D35" s="1036"/>
      <c r="E35" s="1036"/>
      <c r="F35" s="1036"/>
      <c r="G35" s="1036"/>
      <c r="H35" s="1036"/>
      <c r="I35" s="1036"/>
      <c r="J35" s="1037"/>
      <c r="K35" s="244"/>
      <c r="L35" s="42"/>
      <c r="M35" s="42"/>
      <c r="N35" s="42"/>
      <c r="O35" s="44"/>
      <c r="P35" s="88" t="s">
        <v>18</v>
      </c>
      <c r="Q35" s="1031" t="s">
        <v>8</v>
      </c>
      <c r="R35" s="1032"/>
      <c r="S35" s="1032"/>
      <c r="T35" s="1033"/>
      <c r="U35" s="45"/>
      <c r="V35" s="45"/>
      <c r="W35" s="45"/>
      <c r="X35" s="308"/>
      <c r="Y35" s="3"/>
      <c r="Z35" s="45"/>
      <c r="AA35" s="45"/>
    </row>
    <row r="36" spans="1:35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5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5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5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5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5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5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5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5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5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5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5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5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8"/>
      <c r="P55" s="1018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31" t="s">
        <v>63</v>
      </c>
      <c r="C56" s="1032"/>
      <c r="D56" s="1032"/>
      <c r="E56" s="1032"/>
      <c r="F56" s="1032"/>
      <c r="G56" s="1033"/>
      <c r="H56" s="56"/>
      <c r="J56" s="56"/>
      <c r="K56" s="56"/>
      <c r="L56" s="56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30"/>
  <dimension ref="A1:AH243"/>
  <sheetViews>
    <sheetView topLeftCell="E13" zoomScale="30" zoomScaleNormal="30" workbookViewId="0">
      <selection activeCell="B47" sqref="B47:J4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88</v>
      </c>
      <c r="Q11" s="1022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1"/>
      <c r="M14" s="1041"/>
      <c r="N14" s="1041"/>
      <c r="O14" s="1041"/>
      <c r="P14" s="1041"/>
      <c r="Q14" s="1041"/>
      <c r="R14" s="1041"/>
      <c r="S14" s="1041"/>
      <c r="T14" s="1041"/>
      <c r="U14" s="1041"/>
      <c r="V14" s="1041"/>
      <c r="W14" s="1041"/>
      <c r="X14" s="1041"/>
      <c r="Y14" s="1041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1025" t="s">
        <v>63</v>
      </c>
      <c r="M15" s="1026"/>
      <c r="N15" s="1026"/>
      <c r="O15" s="1026"/>
      <c r="P15" s="1030"/>
      <c r="Q15" s="1025" t="s">
        <v>8</v>
      </c>
      <c r="R15" s="1026"/>
      <c r="S15" s="1026"/>
      <c r="T15" s="1026"/>
      <c r="U15" s="1026"/>
      <c r="V15" s="1026"/>
      <c r="W15" s="1026"/>
      <c r="X15" s="1026"/>
      <c r="Y15" s="1026"/>
      <c r="Z15" s="1026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5" t="s">
        <v>8</v>
      </c>
      <c r="C35" s="1036"/>
      <c r="D35" s="1036"/>
      <c r="E35" s="1036"/>
      <c r="F35" s="1036"/>
      <c r="G35" s="1036"/>
      <c r="H35" s="1036"/>
      <c r="I35" s="1036"/>
      <c r="J35" s="1037"/>
      <c r="K35" s="244"/>
      <c r="L35" s="42"/>
      <c r="M35" s="42"/>
      <c r="N35" s="42"/>
      <c r="O35" s="44"/>
      <c r="P35" s="88" t="s">
        <v>18</v>
      </c>
      <c r="Q35" s="1031" t="s">
        <v>8</v>
      </c>
      <c r="R35" s="1032"/>
      <c r="S35" s="1032"/>
      <c r="T35" s="1033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44.7</v>
      </c>
      <c r="E44" s="267">
        <v>36.299999999999997</v>
      </c>
      <c r="F44" s="267">
        <v>20.399999999999999</v>
      </c>
      <c r="G44" s="267">
        <v>42.2</v>
      </c>
      <c r="H44" s="267">
        <v>81.8</v>
      </c>
      <c r="I44" s="123">
        <v>49.5</v>
      </c>
      <c r="J44" s="272">
        <f t="shared" si="6"/>
        <v>373.1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307.09999999999997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75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106.03220478943022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408">
        <v>434</v>
      </c>
      <c r="C47" s="400">
        <v>486</v>
      </c>
      <c r="D47" s="27">
        <v>402</v>
      </c>
      <c r="E47" s="402">
        <v>327</v>
      </c>
      <c r="F47" s="402">
        <v>183</v>
      </c>
      <c r="G47" s="27">
        <v>389</v>
      </c>
      <c r="H47" s="27">
        <v>812</v>
      </c>
      <c r="I47" s="28">
        <v>427</v>
      </c>
      <c r="J47" s="129">
        <v>3460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43.419600000000003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42.896799999999999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106.03220478943022</v>
      </c>
      <c r="K48" s="406">
        <v>1</v>
      </c>
      <c r="L48" s="392" t="s">
        <v>103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301.09800000000001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294.084</v>
      </c>
      <c r="H49" s="282">
        <f t="shared" si="10"/>
        <v>596.82000000000005</v>
      </c>
      <c r="I49" s="284">
        <f t="shared" si="10"/>
        <v>306.3725</v>
      </c>
      <c r="J49" s="108"/>
      <c r="K49" s="407">
        <v>2</v>
      </c>
      <c r="L49" s="395" t="s">
        <v>104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109.13290689410093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106.6103562247521</v>
      </c>
      <c r="H50" s="38">
        <f t="shared" si="11"/>
        <v>99.049964813511608</v>
      </c>
      <c r="I50" s="39">
        <f t="shared" si="11"/>
        <v>113.54968216794914</v>
      </c>
      <c r="J50" s="131"/>
      <c r="K50" s="404">
        <v>4</v>
      </c>
      <c r="L50" s="397" t="s">
        <v>105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-6.0019999999999527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3.7840000000000487</v>
      </c>
      <c r="H51" s="42">
        <f t="shared" si="12"/>
        <v>33.82000000000005</v>
      </c>
      <c r="I51" s="42">
        <f t="shared" si="12"/>
        <v>-33.027499999999975</v>
      </c>
      <c r="J51" s="41"/>
      <c r="K51" s="405">
        <v>5</v>
      </c>
      <c r="L51" s="39" t="s">
        <v>106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2.1329068941009268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-1.3896437752479045</v>
      </c>
      <c r="H52" s="42">
        <f t="shared" si="12"/>
        <v>-5.9500351864883925</v>
      </c>
      <c r="I52" s="42">
        <f t="shared" si="12"/>
        <v>11.049682167949143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1018"/>
      <c r="P55" s="1018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31" t="s">
        <v>63</v>
      </c>
      <c r="C56" s="1032"/>
      <c r="D56" s="1032"/>
      <c r="E56" s="1032"/>
      <c r="F56" s="1032"/>
      <c r="G56" s="1033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31"/>
  <dimension ref="A1:AH243"/>
  <sheetViews>
    <sheetView topLeftCell="J5" zoomScale="30" zoomScaleNormal="30" workbookViewId="0">
      <selection activeCell="K76" sqref="K76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88</v>
      </c>
      <c r="Q11" s="1022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1"/>
      <c r="M14" s="1041"/>
      <c r="N14" s="1041"/>
      <c r="O14" s="1041"/>
      <c r="P14" s="1041"/>
      <c r="Q14" s="1041"/>
      <c r="R14" s="1041"/>
      <c r="S14" s="1041"/>
      <c r="T14" s="1041"/>
      <c r="U14" s="1041"/>
      <c r="V14" s="1041"/>
      <c r="W14" s="1041"/>
      <c r="X14" s="1041"/>
      <c r="Y14" s="1041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1025" t="s">
        <v>63</v>
      </c>
      <c r="M15" s="1026"/>
      <c r="N15" s="1026"/>
      <c r="O15" s="1026"/>
      <c r="P15" s="1030"/>
      <c r="Q15" s="1025" t="s">
        <v>8</v>
      </c>
      <c r="R15" s="1026"/>
      <c r="S15" s="1026"/>
      <c r="T15" s="1026"/>
      <c r="U15" s="1026"/>
      <c r="V15" s="1026"/>
      <c r="W15" s="1026"/>
      <c r="X15" s="1026"/>
      <c r="Y15" s="1026"/>
      <c r="Z15" s="1026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5" t="s">
        <v>8</v>
      </c>
      <c r="C35" s="1036"/>
      <c r="D35" s="1036"/>
      <c r="E35" s="1036"/>
      <c r="F35" s="1036"/>
      <c r="G35" s="1036"/>
      <c r="H35" s="1036"/>
      <c r="I35" s="1036"/>
      <c r="J35" s="1037"/>
      <c r="K35" s="244"/>
      <c r="L35" s="42"/>
      <c r="M35" s="42"/>
      <c r="N35" s="42"/>
      <c r="O35" s="44"/>
      <c r="P35" s="88" t="s">
        <v>18</v>
      </c>
      <c r="Q35" s="1031" t="s">
        <v>8</v>
      </c>
      <c r="R35" s="1032"/>
      <c r="S35" s="1032"/>
      <c r="T35" s="1033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>
        <v>352.1</v>
      </c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>
        <v>352.1</v>
      </c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>
        <v>372.4</v>
      </c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>
        <v>372.59999999999997</v>
      </c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>
        <v>372.8</v>
      </c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>
        <v>373.00000000000006</v>
      </c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43.7</v>
      </c>
      <c r="E44" s="267">
        <v>36.299999999999997</v>
      </c>
      <c r="F44" s="267">
        <v>20.399999999999999</v>
      </c>
      <c r="G44" s="267">
        <v>42.6</v>
      </c>
      <c r="H44" s="267">
        <v>86.7</v>
      </c>
      <c r="I44" s="123">
        <v>44.7</v>
      </c>
      <c r="J44" s="272">
        <f t="shared" si="6"/>
        <v>372.59999999999997</v>
      </c>
      <c r="K44" s="49">
        <v>373.1</v>
      </c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306.09999999999997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290.7</v>
      </c>
      <c r="H45" s="120">
        <f t="shared" si="8"/>
        <v>567.90000000000009</v>
      </c>
      <c r="I45" s="121">
        <f t="shared" si="8"/>
        <v>334.59999999999997</v>
      </c>
      <c r="J45" s="275">
        <f t="shared" si="6"/>
        <v>2567.6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106.07287449392712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26">
        <v>434</v>
      </c>
      <c r="C47" s="27">
        <v>486</v>
      </c>
      <c r="D47" s="400">
        <v>401</v>
      </c>
      <c r="E47" s="27">
        <v>327</v>
      </c>
      <c r="F47" s="27">
        <v>183</v>
      </c>
      <c r="G47" s="400">
        <v>388</v>
      </c>
      <c r="H47" s="402">
        <v>812</v>
      </c>
      <c r="I47" s="403">
        <v>427</v>
      </c>
      <c r="J47" s="129">
        <f>SUM(B47:I47)</f>
        <v>3458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43.269799999999996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42.745599999999996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106.07287449392712</v>
      </c>
      <c r="K48" s="409">
        <v>3</v>
      </c>
      <c r="L48" s="392" t="s">
        <v>107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300.34899999999999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293.32799999999997</v>
      </c>
      <c r="H49" s="282">
        <f t="shared" si="10"/>
        <v>596.82000000000005</v>
      </c>
      <c r="I49" s="284">
        <f t="shared" si="10"/>
        <v>306.3725</v>
      </c>
      <c r="J49" s="108"/>
      <c r="K49" s="410">
        <v>6</v>
      </c>
      <c r="L49" s="395" t="s">
        <v>108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109.04880655504097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107.03240058910161</v>
      </c>
      <c r="H50" s="38">
        <f t="shared" si="11"/>
        <v>99.912033779028874</v>
      </c>
      <c r="I50" s="39">
        <f t="shared" si="11"/>
        <v>111.94379391100702</v>
      </c>
      <c r="J50" s="131"/>
      <c r="K50" s="411">
        <v>7</v>
      </c>
      <c r="L50" s="397" t="s">
        <v>109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-5.7509999999999764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2.6279999999999859</v>
      </c>
      <c r="H51" s="42">
        <f t="shared" si="12"/>
        <v>28.919999999999959</v>
      </c>
      <c r="I51" s="42">
        <f t="shared" si="12"/>
        <v>-28.227499999999964</v>
      </c>
      <c r="J51" s="41"/>
      <c r="K51" s="412">
        <v>8</v>
      </c>
      <c r="L51" s="39" t="s">
        <v>110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2.0488065550409686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-0.96759941089838719</v>
      </c>
      <c r="H52" s="42">
        <f t="shared" si="12"/>
        <v>-5.0879662209711256</v>
      </c>
      <c r="I52" s="42">
        <f t="shared" si="12"/>
        <v>9.4437939110070204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1018"/>
      <c r="P55" s="1018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31" t="s">
        <v>63</v>
      </c>
      <c r="C56" s="1032"/>
      <c r="D56" s="1032"/>
      <c r="E56" s="1032"/>
      <c r="F56" s="1032"/>
      <c r="G56" s="1033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32"/>
  <dimension ref="A1:AH243"/>
  <sheetViews>
    <sheetView zoomScale="30" zoomScaleNormal="30" workbookViewId="0">
      <selection activeCell="B33" sqref="B33:Z33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21</v>
      </c>
      <c r="Q11" s="1022"/>
      <c r="R11" s="6"/>
      <c r="S11" s="6"/>
      <c r="T11" s="1"/>
      <c r="U11" s="1"/>
      <c r="V11" s="1" t="s">
        <v>6</v>
      </c>
      <c r="W11" s="95">
        <v>45487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1"/>
      <c r="M14" s="1041"/>
      <c r="N14" s="1041"/>
      <c r="O14" s="1041"/>
      <c r="P14" s="1041"/>
      <c r="Q14" s="1041"/>
      <c r="R14" s="1041"/>
      <c r="S14" s="1041"/>
      <c r="T14" s="1041"/>
      <c r="U14" s="1041"/>
      <c r="V14" s="1041"/>
      <c r="W14" s="1041"/>
      <c r="X14" s="1041"/>
      <c r="Y14" s="1041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1025" t="s">
        <v>63</v>
      </c>
      <c r="M15" s="1026"/>
      <c r="N15" s="1026"/>
      <c r="O15" s="1026"/>
      <c r="P15" s="1030"/>
      <c r="Q15" s="1025" t="s">
        <v>8</v>
      </c>
      <c r="R15" s="1026"/>
      <c r="S15" s="1026"/>
      <c r="T15" s="1026"/>
      <c r="U15" s="1026"/>
      <c r="V15" s="1026"/>
      <c r="W15" s="1026"/>
      <c r="X15" s="1026"/>
      <c r="Y15" s="1026"/>
      <c r="Z15" s="1026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8">
        <v>54.9</v>
      </c>
      <c r="C18" s="19">
        <v>55.2</v>
      </c>
      <c r="D18" s="19">
        <v>55.2</v>
      </c>
      <c r="E18" s="19">
        <v>36.1</v>
      </c>
      <c r="F18" s="19">
        <v>26.6</v>
      </c>
      <c r="G18" s="19">
        <v>36.799999999999997</v>
      </c>
      <c r="H18" s="19">
        <v>48.7</v>
      </c>
      <c r="I18" s="19">
        <v>82.9</v>
      </c>
      <c r="J18" s="19">
        <v>65.3</v>
      </c>
      <c r="K18" s="104">
        <v>40</v>
      </c>
      <c r="L18" s="18">
        <v>34.5</v>
      </c>
      <c r="M18" s="19">
        <v>39.5</v>
      </c>
      <c r="N18" s="19">
        <v>46.9</v>
      </c>
      <c r="O18" s="19">
        <v>72.2</v>
      </c>
      <c r="P18" s="104">
        <v>54.8</v>
      </c>
      <c r="Q18" s="18">
        <v>60.1</v>
      </c>
      <c r="R18" s="19">
        <v>90.3</v>
      </c>
      <c r="S18" s="19">
        <v>43.3</v>
      </c>
      <c r="T18" s="19">
        <v>34.4</v>
      </c>
      <c r="U18" s="19">
        <v>30.5</v>
      </c>
      <c r="V18" s="19">
        <v>63.1</v>
      </c>
      <c r="W18" s="19">
        <v>57.6</v>
      </c>
      <c r="X18" s="19">
        <v>56.3</v>
      </c>
      <c r="Y18" s="19">
        <v>80.3</v>
      </c>
      <c r="Z18" s="20">
        <v>7</v>
      </c>
      <c r="AA18" s="98">
        <f t="shared" ref="AA18:AA24" si="0">SUM(B18:Z18)</f>
        <v>1272.4999999999998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54.9</v>
      </c>
      <c r="C19" s="19">
        <v>55.2</v>
      </c>
      <c r="D19" s="19">
        <v>55.2</v>
      </c>
      <c r="E19" s="19">
        <v>36.1</v>
      </c>
      <c r="F19" s="19">
        <v>26.6</v>
      </c>
      <c r="G19" s="19">
        <v>36.799999999999997</v>
      </c>
      <c r="H19" s="19">
        <v>48.7</v>
      </c>
      <c r="I19" s="19">
        <v>82.9</v>
      </c>
      <c r="J19" s="19">
        <v>65.3</v>
      </c>
      <c r="K19" s="104">
        <v>40</v>
      </c>
      <c r="L19" s="18">
        <v>34.5</v>
      </c>
      <c r="M19" s="19">
        <v>39.5</v>
      </c>
      <c r="N19" s="19">
        <v>46.9</v>
      </c>
      <c r="O19" s="19">
        <v>72.2</v>
      </c>
      <c r="P19" s="104">
        <v>54.8</v>
      </c>
      <c r="Q19" s="18">
        <v>60.1</v>
      </c>
      <c r="R19" s="19">
        <v>90.3</v>
      </c>
      <c r="S19" s="19">
        <v>43.3</v>
      </c>
      <c r="T19" s="19">
        <v>34.4</v>
      </c>
      <c r="U19" s="19">
        <v>30.5</v>
      </c>
      <c r="V19" s="19">
        <v>63.1</v>
      </c>
      <c r="W19" s="19">
        <v>57.6</v>
      </c>
      <c r="X19" s="19">
        <v>56.3</v>
      </c>
      <c r="Y19" s="19">
        <v>80.3</v>
      </c>
      <c r="Z19" s="20">
        <v>7</v>
      </c>
      <c r="AA19" s="98">
        <f t="shared" si="0"/>
        <v>1272.4999999999998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57.3</v>
      </c>
      <c r="C20" s="19">
        <v>57.1</v>
      </c>
      <c r="D20" s="19">
        <v>56.5</v>
      </c>
      <c r="E20" s="19">
        <v>37.299999999999997</v>
      </c>
      <c r="F20" s="19">
        <v>28.3</v>
      </c>
      <c r="G20" s="19">
        <v>38.299999999999997</v>
      </c>
      <c r="H20" s="19">
        <v>50.3</v>
      </c>
      <c r="I20" s="19">
        <v>86.1</v>
      </c>
      <c r="J20" s="19">
        <v>67.7</v>
      </c>
      <c r="K20" s="104">
        <v>41.2</v>
      </c>
      <c r="L20" s="18">
        <v>35.4</v>
      </c>
      <c r="M20" s="19">
        <v>39.5</v>
      </c>
      <c r="N20" s="19">
        <v>50.3</v>
      </c>
      <c r="O20" s="282">
        <v>72.8</v>
      </c>
      <c r="P20" s="283">
        <v>59.7</v>
      </c>
      <c r="Q20" s="281">
        <v>62.9</v>
      </c>
      <c r="R20" s="282">
        <v>94.4</v>
      </c>
      <c r="S20" s="282">
        <v>44.8</v>
      </c>
      <c r="T20" s="282">
        <v>34.799999999999997</v>
      </c>
      <c r="U20" s="282">
        <v>31.8</v>
      </c>
      <c r="V20" s="282">
        <v>65.599999999999994</v>
      </c>
      <c r="W20" s="282">
        <v>59.2</v>
      </c>
      <c r="X20" s="282">
        <v>59.9</v>
      </c>
      <c r="Y20" s="282">
        <v>80.900000000000006</v>
      </c>
      <c r="Z20" s="20">
        <v>7.4</v>
      </c>
      <c r="AA20" s="98">
        <f t="shared" si="0"/>
        <v>1319.5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56.4</v>
      </c>
      <c r="C21" s="19">
        <v>57.1</v>
      </c>
      <c r="D21" s="19">
        <v>56.5</v>
      </c>
      <c r="E21" s="19">
        <v>36.200000000000003</v>
      </c>
      <c r="F21" s="19">
        <v>28.5</v>
      </c>
      <c r="G21" s="19">
        <v>38.299999999999997</v>
      </c>
      <c r="H21" s="19">
        <v>50.3</v>
      </c>
      <c r="I21" s="19">
        <v>86.1</v>
      </c>
      <c r="J21" s="19">
        <v>68.2</v>
      </c>
      <c r="K21" s="104">
        <v>41.2</v>
      </c>
      <c r="L21" s="18">
        <v>35.700000000000003</v>
      </c>
      <c r="M21" s="19">
        <v>39.4</v>
      </c>
      <c r="N21" s="19">
        <v>50.3</v>
      </c>
      <c r="O21" s="282">
        <v>72.2</v>
      </c>
      <c r="P21" s="283">
        <v>59.7</v>
      </c>
      <c r="Q21" s="281">
        <v>63</v>
      </c>
      <c r="R21" s="282">
        <v>93.7</v>
      </c>
      <c r="S21" s="282">
        <v>44.5</v>
      </c>
      <c r="T21" s="282">
        <v>35.1</v>
      </c>
      <c r="U21" s="282">
        <v>31.9</v>
      </c>
      <c r="V21" s="282">
        <v>65.599999999999994</v>
      </c>
      <c r="W21" s="282">
        <v>59.2</v>
      </c>
      <c r="X21" s="282">
        <v>60.9</v>
      </c>
      <c r="Y21" s="282">
        <v>81</v>
      </c>
      <c r="Z21" s="20">
        <v>7.4</v>
      </c>
      <c r="AA21" s="98">
        <f t="shared" si="0"/>
        <v>1318.4000000000003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56.4</v>
      </c>
      <c r="C22" s="19">
        <v>57.1</v>
      </c>
      <c r="D22" s="19">
        <v>56.5</v>
      </c>
      <c r="E22" s="19">
        <v>36.200000000000003</v>
      </c>
      <c r="F22" s="19">
        <v>28.5</v>
      </c>
      <c r="G22" s="19">
        <v>38.299999999999997</v>
      </c>
      <c r="H22" s="19">
        <v>50.3</v>
      </c>
      <c r="I22" s="19">
        <v>86.2</v>
      </c>
      <c r="J22" s="19">
        <v>68.2</v>
      </c>
      <c r="K22" s="104">
        <v>41.2</v>
      </c>
      <c r="L22" s="18">
        <v>35.700000000000003</v>
      </c>
      <c r="M22" s="19">
        <v>39.4</v>
      </c>
      <c r="N22" s="19">
        <v>50.3</v>
      </c>
      <c r="O22" s="282">
        <v>72.2</v>
      </c>
      <c r="P22" s="283">
        <v>59.7</v>
      </c>
      <c r="Q22" s="281">
        <v>63</v>
      </c>
      <c r="R22" s="282">
        <v>93.7</v>
      </c>
      <c r="S22" s="282">
        <v>44.6</v>
      </c>
      <c r="T22" s="282">
        <v>35.200000000000003</v>
      </c>
      <c r="U22" s="282">
        <v>31.9</v>
      </c>
      <c r="V22" s="282">
        <v>65.7</v>
      </c>
      <c r="W22" s="282">
        <v>59.2</v>
      </c>
      <c r="X22" s="282">
        <v>60.9</v>
      </c>
      <c r="Y22" s="282">
        <v>81</v>
      </c>
      <c r="Z22" s="20">
        <v>7.5</v>
      </c>
      <c r="AA22" s="98">
        <f t="shared" si="0"/>
        <v>1318.9000000000003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56.5</v>
      </c>
      <c r="C23" s="19">
        <v>57.1</v>
      </c>
      <c r="D23" s="19">
        <v>56.5</v>
      </c>
      <c r="E23" s="19">
        <v>36.200000000000003</v>
      </c>
      <c r="F23" s="19">
        <v>28.6</v>
      </c>
      <c r="G23" s="19">
        <v>38.4</v>
      </c>
      <c r="H23" s="19">
        <v>50.3</v>
      </c>
      <c r="I23" s="19">
        <v>86.2</v>
      </c>
      <c r="J23" s="19">
        <v>68.2</v>
      </c>
      <c r="K23" s="104">
        <v>41.2</v>
      </c>
      <c r="L23" s="18">
        <v>35.700000000000003</v>
      </c>
      <c r="M23" s="19">
        <v>39.4</v>
      </c>
      <c r="N23" s="19">
        <v>50.4</v>
      </c>
      <c r="O23" s="282">
        <v>72.3</v>
      </c>
      <c r="P23" s="283">
        <v>59.7</v>
      </c>
      <c r="Q23" s="281">
        <v>63</v>
      </c>
      <c r="R23" s="282">
        <v>93.7</v>
      </c>
      <c r="S23" s="282">
        <v>44.6</v>
      </c>
      <c r="T23" s="282">
        <v>35.200000000000003</v>
      </c>
      <c r="U23" s="282">
        <v>31.9</v>
      </c>
      <c r="V23" s="282">
        <v>65.7</v>
      </c>
      <c r="W23" s="282">
        <v>59.2</v>
      </c>
      <c r="X23" s="282">
        <v>60.9</v>
      </c>
      <c r="Y23" s="282">
        <v>81</v>
      </c>
      <c r="Z23" s="20">
        <v>7.5</v>
      </c>
      <c r="AA23" s="98">
        <f t="shared" si="0"/>
        <v>1319.4000000000003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56.5</v>
      </c>
      <c r="C24" s="19">
        <v>57.1</v>
      </c>
      <c r="D24" s="19">
        <v>56.6</v>
      </c>
      <c r="E24" s="19">
        <v>36.299999999999997</v>
      </c>
      <c r="F24" s="19">
        <v>28.6</v>
      </c>
      <c r="G24" s="19">
        <v>38.4</v>
      </c>
      <c r="H24" s="19">
        <v>50.3</v>
      </c>
      <c r="I24" s="19">
        <v>86.2</v>
      </c>
      <c r="J24" s="19">
        <v>68.3</v>
      </c>
      <c r="K24" s="104">
        <v>41.2</v>
      </c>
      <c r="L24" s="18">
        <v>35.799999999999997</v>
      </c>
      <c r="M24" s="19">
        <v>39.5</v>
      </c>
      <c r="N24" s="19">
        <v>50.4</v>
      </c>
      <c r="O24" s="282">
        <v>72.3</v>
      </c>
      <c r="P24" s="283">
        <v>59.7</v>
      </c>
      <c r="Q24" s="281">
        <v>63</v>
      </c>
      <c r="R24" s="282">
        <v>93.8</v>
      </c>
      <c r="S24" s="282">
        <v>44.6</v>
      </c>
      <c r="T24" s="282">
        <v>35.200000000000003</v>
      </c>
      <c r="U24" s="282">
        <v>31.9</v>
      </c>
      <c r="V24" s="282">
        <v>65.7</v>
      </c>
      <c r="W24" s="282">
        <v>59.3</v>
      </c>
      <c r="X24" s="282">
        <v>60.9</v>
      </c>
      <c r="Y24" s="282">
        <v>81</v>
      </c>
      <c r="Z24" s="20">
        <v>7.5</v>
      </c>
      <c r="AA24" s="98">
        <f t="shared" si="0"/>
        <v>1320.1000000000001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392.9</v>
      </c>
      <c r="C25" s="120">
        <f>SUM(C18:C24)</f>
        <v>395.90000000000003</v>
      </c>
      <c r="D25" s="120">
        <f t="shared" ref="D25:Z25" si="1">SUM(D18:D24)</f>
        <v>393</v>
      </c>
      <c r="E25" s="120">
        <f t="shared" si="1"/>
        <v>254.39999999999998</v>
      </c>
      <c r="F25" s="120">
        <f t="shared" si="1"/>
        <v>195.7</v>
      </c>
      <c r="G25" s="120">
        <f t="shared" si="1"/>
        <v>265.3</v>
      </c>
      <c r="H25" s="120">
        <f t="shared" si="1"/>
        <v>348.90000000000003</v>
      </c>
      <c r="I25" s="120">
        <f t="shared" si="1"/>
        <v>596.6</v>
      </c>
      <c r="J25" s="120">
        <f t="shared" si="1"/>
        <v>471.2</v>
      </c>
      <c r="K25" s="121">
        <f t="shared" si="1"/>
        <v>286</v>
      </c>
      <c r="L25" s="122">
        <f t="shared" si="1"/>
        <v>247.3</v>
      </c>
      <c r="M25" s="120">
        <f t="shared" si="1"/>
        <v>276.20000000000005</v>
      </c>
      <c r="N25" s="120">
        <f t="shared" si="1"/>
        <v>345.49999999999994</v>
      </c>
      <c r="O25" s="120">
        <f t="shared" si="1"/>
        <v>506.2</v>
      </c>
      <c r="P25" s="121">
        <f t="shared" si="1"/>
        <v>408.09999999999997</v>
      </c>
      <c r="Q25" s="122">
        <f t="shared" si="1"/>
        <v>435.1</v>
      </c>
      <c r="R25" s="120">
        <f t="shared" si="1"/>
        <v>649.9</v>
      </c>
      <c r="S25" s="120">
        <f t="shared" si="1"/>
        <v>309.7</v>
      </c>
      <c r="T25" s="120">
        <f t="shared" si="1"/>
        <v>244.29999999999995</v>
      </c>
      <c r="U25" s="120">
        <f t="shared" si="1"/>
        <v>220.4</v>
      </c>
      <c r="V25" s="120">
        <f t="shared" si="1"/>
        <v>454.49999999999994</v>
      </c>
      <c r="W25" s="120">
        <f t="shared" si="1"/>
        <v>411.3</v>
      </c>
      <c r="X25" s="120">
        <f t="shared" si="1"/>
        <v>416.09999999999997</v>
      </c>
      <c r="Y25" s="120">
        <f t="shared" si="1"/>
        <v>565.5</v>
      </c>
      <c r="Z25" s="121">
        <f t="shared" si="1"/>
        <v>51.3</v>
      </c>
      <c r="AA25" s="326">
        <f>SUM(AA18:AA24)</f>
        <v>9141.3000000000011</v>
      </c>
      <c r="AC25" s="243"/>
    </row>
    <row r="26" spans="1:34" s="2" customFormat="1" ht="36.75" customHeight="1" x14ac:dyDescent="0.25">
      <c r="A26" s="148" t="s">
        <v>11</v>
      </c>
      <c r="B26" s="23">
        <v>110.5</v>
      </c>
      <c r="C26" s="24">
        <v>112</v>
      </c>
      <c r="D26" s="24">
        <v>112.5</v>
      </c>
      <c r="E26" s="24">
        <v>112.5</v>
      </c>
      <c r="F26" s="24">
        <v>115.5</v>
      </c>
      <c r="G26" s="24">
        <v>114.5</v>
      </c>
      <c r="H26" s="24">
        <v>112.5</v>
      </c>
      <c r="I26" s="24">
        <v>112</v>
      </c>
      <c r="J26" s="24">
        <v>110</v>
      </c>
      <c r="K26" s="25">
        <v>107.5</v>
      </c>
      <c r="L26" s="23">
        <v>112.5</v>
      </c>
      <c r="M26" s="24">
        <v>109</v>
      </c>
      <c r="N26" s="24">
        <v>108</v>
      </c>
      <c r="O26" s="24">
        <v>106.5</v>
      </c>
      <c r="P26" s="25">
        <v>106</v>
      </c>
      <c r="Q26" s="23">
        <v>111</v>
      </c>
      <c r="R26" s="24">
        <v>112</v>
      </c>
      <c r="S26" s="24">
        <v>115.5</v>
      </c>
      <c r="T26" s="24">
        <v>117.5</v>
      </c>
      <c r="U26" s="24">
        <v>114.5</v>
      </c>
      <c r="V26" s="24">
        <v>113.5</v>
      </c>
      <c r="W26" s="24">
        <v>113</v>
      </c>
      <c r="X26" s="24">
        <v>113</v>
      </c>
      <c r="Y26" s="24">
        <v>108</v>
      </c>
      <c r="Z26" s="25">
        <v>111</v>
      </c>
      <c r="AA26" s="327">
        <f>((AA25/AA27)/7)*1000</f>
        <v>111.21614716402658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242</v>
      </c>
      <c r="G27" s="27">
        <v>331</v>
      </c>
      <c r="H27" s="27">
        <v>443</v>
      </c>
      <c r="I27" s="27">
        <v>761</v>
      </c>
      <c r="J27" s="27">
        <v>612</v>
      </c>
      <c r="K27" s="28">
        <v>380</v>
      </c>
      <c r="L27" s="26">
        <v>314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383</v>
      </c>
      <c r="T27" s="27">
        <v>297</v>
      </c>
      <c r="U27" s="27">
        <v>275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11742</v>
      </c>
    </row>
    <row r="28" spans="1:34" s="2" customFormat="1" ht="33" customHeight="1" x14ac:dyDescent="0.25">
      <c r="A28" s="150" t="s">
        <v>13</v>
      </c>
      <c r="B28" s="358">
        <f>((((B26*7)*B27)/1000)-(B18+B19+B20))/4</f>
        <v>56.459499999999998</v>
      </c>
      <c r="C28" s="31">
        <f t="shared" ref="C28:Z28" si="2">((((C26*7)*C27)/1000)-(C18+C19+C20))/4</f>
        <v>57.105000000000004</v>
      </c>
      <c r="D28" s="31">
        <f t="shared" si="2"/>
        <v>56.515624999999993</v>
      </c>
      <c r="E28" s="31">
        <f t="shared" si="2"/>
        <v>36.215625000000003</v>
      </c>
      <c r="F28" s="31">
        <f t="shared" si="2"/>
        <v>28.539250000000003</v>
      </c>
      <c r="G28" s="31">
        <f t="shared" si="2"/>
        <v>38.349125000000001</v>
      </c>
      <c r="H28" s="31">
        <f t="shared" si="2"/>
        <v>50.290625000000006</v>
      </c>
      <c r="I28" s="31">
        <f t="shared" si="2"/>
        <v>86.181000000000012</v>
      </c>
      <c r="J28" s="31">
        <f t="shared" si="2"/>
        <v>68.234999999999999</v>
      </c>
      <c r="K28" s="65">
        <f t="shared" si="2"/>
        <v>41.1875</v>
      </c>
      <c r="L28" s="358">
        <f t="shared" si="2"/>
        <v>35.71875</v>
      </c>
      <c r="M28" s="31">
        <f t="shared" si="2"/>
        <v>39.426500000000004</v>
      </c>
      <c r="N28" s="31">
        <f t="shared" si="2"/>
        <v>50.348000000000006</v>
      </c>
      <c r="O28" s="31">
        <f t="shared" si="2"/>
        <v>72.248625000000004</v>
      </c>
      <c r="P28" s="65">
        <f t="shared" si="2"/>
        <v>59.7</v>
      </c>
      <c r="Q28" s="358">
        <f t="shared" si="2"/>
        <v>63.005000000000003</v>
      </c>
      <c r="R28" s="31">
        <f t="shared" si="2"/>
        <v>93.734000000000009</v>
      </c>
      <c r="S28" s="31">
        <f t="shared" si="2"/>
        <v>44.56387500000001</v>
      </c>
      <c r="T28" s="31">
        <f t="shared" si="2"/>
        <v>35.170625000000001</v>
      </c>
      <c r="U28" s="31">
        <f t="shared" si="2"/>
        <v>31.903124999999999</v>
      </c>
      <c r="V28" s="31">
        <f t="shared" si="2"/>
        <v>65.663499999999999</v>
      </c>
      <c r="W28" s="31">
        <f t="shared" si="2"/>
        <v>59.23</v>
      </c>
      <c r="X28" s="31">
        <f t="shared" si="2"/>
        <v>60.891499999999994</v>
      </c>
      <c r="Y28" s="31">
        <f t="shared" si="2"/>
        <v>80.997000000000014</v>
      </c>
      <c r="Z28" s="65">
        <f t="shared" si="2"/>
        <v>7.4704999999999995</v>
      </c>
      <c r="AA28" s="329">
        <f>((AA25*1000)/7)/AA27</f>
        <v>111.21614716402659</v>
      </c>
    </row>
    <row r="29" spans="1:34" ht="33.75" customHeight="1" x14ac:dyDescent="0.25">
      <c r="A29" s="151" t="s">
        <v>14</v>
      </c>
      <c r="B29" s="281">
        <f>((B27*B26)*7)/1000</f>
        <v>392.93799999999999</v>
      </c>
      <c r="C29" s="282">
        <f>((C27*C26)*7)/1000</f>
        <v>395.92</v>
      </c>
      <c r="D29" s="282">
        <f t="shared" ref="D29:Z29" si="3">((D27*D26)*7)/1000</f>
        <v>392.96249999999998</v>
      </c>
      <c r="E29" s="282">
        <f t="shared" si="3"/>
        <v>254.36250000000001</v>
      </c>
      <c r="F29" s="282">
        <f t="shared" si="3"/>
        <v>195.65700000000001</v>
      </c>
      <c r="G29" s="282">
        <f t="shared" si="3"/>
        <v>265.29649999999998</v>
      </c>
      <c r="H29" s="282">
        <f t="shared" si="3"/>
        <v>348.86250000000001</v>
      </c>
      <c r="I29" s="282">
        <f t="shared" si="3"/>
        <v>596.62400000000002</v>
      </c>
      <c r="J29" s="282">
        <f t="shared" si="3"/>
        <v>471.24</v>
      </c>
      <c r="K29" s="284">
        <f t="shared" si="3"/>
        <v>285.95</v>
      </c>
      <c r="L29" s="413">
        <f t="shared" si="3"/>
        <v>247.27500000000001</v>
      </c>
      <c r="M29" s="282">
        <f t="shared" si="3"/>
        <v>276.20600000000002</v>
      </c>
      <c r="N29" s="282">
        <f t="shared" si="3"/>
        <v>345.49200000000002</v>
      </c>
      <c r="O29" s="282">
        <f t="shared" si="3"/>
        <v>506.19450000000001</v>
      </c>
      <c r="P29" s="351">
        <f t="shared" si="3"/>
        <v>408.1</v>
      </c>
      <c r="Q29" s="281">
        <f t="shared" si="3"/>
        <v>435.12</v>
      </c>
      <c r="R29" s="282">
        <f t="shared" si="3"/>
        <v>649.93600000000004</v>
      </c>
      <c r="S29" s="282">
        <f t="shared" si="3"/>
        <v>309.65550000000002</v>
      </c>
      <c r="T29" s="282">
        <f t="shared" si="3"/>
        <v>244.2825</v>
      </c>
      <c r="U29" s="282">
        <f t="shared" si="3"/>
        <v>220.41249999999999</v>
      </c>
      <c r="V29" s="282">
        <f t="shared" si="3"/>
        <v>454.45400000000001</v>
      </c>
      <c r="W29" s="282">
        <f t="shared" si="3"/>
        <v>411.32</v>
      </c>
      <c r="X29" s="282">
        <f t="shared" si="3"/>
        <v>416.06599999999997</v>
      </c>
      <c r="Y29" s="282">
        <f t="shared" si="3"/>
        <v>565.48800000000006</v>
      </c>
      <c r="Z29" s="284">
        <f t="shared" si="3"/>
        <v>51.281999999999996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110.48931383577053</v>
      </c>
      <c r="C30" s="38">
        <f t="shared" ref="C30:Z30" si="4">+(C25/C27)/7*1000</f>
        <v>111.99434229137199</v>
      </c>
      <c r="D30" s="38">
        <f t="shared" si="4"/>
        <v>112.51073575722874</v>
      </c>
      <c r="E30" s="38">
        <f t="shared" si="4"/>
        <v>112.51658558160105</v>
      </c>
      <c r="F30" s="38">
        <f t="shared" si="4"/>
        <v>115.52538370720188</v>
      </c>
      <c r="G30" s="38">
        <f t="shared" si="4"/>
        <v>114.50151057401814</v>
      </c>
      <c r="H30" s="38">
        <f t="shared" si="4"/>
        <v>112.51209287326671</v>
      </c>
      <c r="I30" s="38">
        <f t="shared" si="4"/>
        <v>111.99549464989676</v>
      </c>
      <c r="J30" s="38">
        <f t="shared" si="4"/>
        <v>109.99066293183938</v>
      </c>
      <c r="K30" s="39">
        <f t="shared" si="4"/>
        <v>107.51879699248121</v>
      </c>
      <c r="L30" s="37">
        <f t="shared" si="4"/>
        <v>112.51137397634213</v>
      </c>
      <c r="M30" s="38">
        <f t="shared" si="4"/>
        <v>108.99763220205212</v>
      </c>
      <c r="N30" s="38">
        <f t="shared" si="4"/>
        <v>108.00250078149421</v>
      </c>
      <c r="O30" s="38">
        <f t="shared" si="4"/>
        <v>106.50115716389649</v>
      </c>
      <c r="P30" s="39">
        <f t="shared" si="4"/>
        <v>106</v>
      </c>
      <c r="Q30" s="37">
        <f t="shared" si="4"/>
        <v>110.99489795918369</v>
      </c>
      <c r="R30" s="38">
        <f t="shared" si="4"/>
        <v>111.99379631225227</v>
      </c>
      <c r="S30" s="38">
        <f t="shared" si="4"/>
        <v>115.51659828422231</v>
      </c>
      <c r="T30" s="38">
        <f t="shared" si="4"/>
        <v>117.50841750841748</v>
      </c>
      <c r="U30" s="38">
        <f t="shared" si="4"/>
        <v>114.4935064935065</v>
      </c>
      <c r="V30" s="38">
        <f t="shared" si="4"/>
        <v>113.51148851148849</v>
      </c>
      <c r="W30" s="38">
        <f t="shared" si="4"/>
        <v>112.9945054945055</v>
      </c>
      <c r="X30" s="38">
        <f t="shared" si="4"/>
        <v>113.00923411189571</v>
      </c>
      <c r="Y30" s="38">
        <f t="shared" si="4"/>
        <v>108.00229182582123</v>
      </c>
      <c r="Z30" s="39">
        <f t="shared" si="4"/>
        <v>111.03896103896103</v>
      </c>
      <c r="AA30" s="237"/>
    </row>
    <row r="31" spans="1:34" ht="33.75" customHeight="1" x14ac:dyDescent="0.25">
      <c r="A31" s="41"/>
      <c r="B31" s="42">
        <f>B29-B25</f>
        <v>3.8000000000010914E-2</v>
      </c>
      <c r="C31" s="42">
        <f t="shared" ref="C31:Z32" si="5">C29-C25</f>
        <v>1.999999999998181E-2</v>
      </c>
      <c r="D31" s="42">
        <f t="shared" si="5"/>
        <v>-3.7500000000022737E-2</v>
      </c>
      <c r="E31" s="42">
        <f t="shared" si="5"/>
        <v>-3.7499999999965894E-2</v>
      </c>
      <c r="F31" s="42">
        <f t="shared" si="5"/>
        <v>-4.2999999999977945E-2</v>
      </c>
      <c r="G31" s="42">
        <f t="shared" si="5"/>
        <v>-3.5000000000309228E-3</v>
      </c>
      <c r="H31" s="42">
        <f t="shared" si="5"/>
        <v>-3.7500000000022737E-2</v>
      </c>
      <c r="I31" s="42">
        <f t="shared" si="5"/>
        <v>2.4000000000000909E-2</v>
      </c>
      <c r="J31" s="42">
        <f t="shared" si="5"/>
        <v>4.0000000000020464E-2</v>
      </c>
      <c r="K31" s="42">
        <f t="shared" si="5"/>
        <v>-5.0000000000011369E-2</v>
      </c>
      <c r="L31" s="42">
        <f t="shared" si="5"/>
        <v>-2.5000000000005684E-2</v>
      </c>
      <c r="M31" s="42">
        <f t="shared" si="5"/>
        <v>5.9999999999718057E-3</v>
      </c>
      <c r="N31" s="42">
        <f t="shared" si="5"/>
        <v>-7.9999999999245119E-3</v>
      </c>
      <c r="O31" s="42">
        <f t="shared" si="5"/>
        <v>-5.4999999999836291E-3</v>
      </c>
      <c r="P31" s="42">
        <f t="shared" si="5"/>
        <v>0</v>
      </c>
      <c r="Q31" s="42">
        <f t="shared" si="5"/>
        <v>1.999999999998181E-2</v>
      </c>
      <c r="R31" s="42">
        <f t="shared" si="5"/>
        <v>3.6000000000058208E-2</v>
      </c>
      <c r="S31" s="42">
        <f t="shared" si="5"/>
        <v>-4.4499999999970896E-2</v>
      </c>
      <c r="T31" s="42">
        <f t="shared" si="5"/>
        <v>-1.7499999999955662E-2</v>
      </c>
      <c r="U31" s="42">
        <f t="shared" si="5"/>
        <v>1.2499999999988631E-2</v>
      </c>
      <c r="V31" s="42">
        <f t="shared" si="5"/>
        <v>-4.5999999999935426E-2</v>
      </c>
      <c r="W31" s="42">
        <f t="shared" si="5"/>
        <v>1.999999999998181E-2</v>
      </c>
      <c r="X31" s="42">
        <f t="shared" si="5"/>
        <v>-3.3999999999991815E-2</v>
      </c>
      <c r="Y31" s="42">
        <f t="shared" si="5"/>
        <v>-1.1999999999943611E-2</v>
      </c>
      <c r="Z31" s="42">
        <f t="shared" si="5"/>
        <v>-1.8000000000000682E-2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-1.0686164229468886E-2</v>
      </c>
      <c r="C32" s="42">
        <f t="shared" si="5"/>
        <v>-5.6577086280071853E-3</v>
      </c>
      <c r="D32" s="42">
        <f t="shared" si="5"/>
        <v>1.0735757228744092E-2</v>
      </c>
      <c r="E32" s="42">
        <f t="shared" si="5"/>
        <v>1.6585581601049171E-2</v>
      </c>
      <c r="F32" s="42">
        <f t="shared" si="5"/>
        <v>2.5383707201882544E-2</v>
      </c>
      <c r="G32" s="42">
        <f t="shared" si="5"/>
        <v>1.510574018141142E-3</v>
      </c>
      <c r="H32" s="42">
        <f t="shared" si="5"/>
        <v>1.2092873266709603E-2</v>
      </c>
      <c r="I32" s="42">
        <f t="shared" si="5"/>
        <v>-4.5053501032441545E-3</v>
      </c>
      <c r="J32" s="42">
        <f t="shared" si="5"/>
        <v>-9.3370681606188555E-3</v>
      </c>
      <c r="K32" s="42">
        <f t="shared" si="5"/>
        <v>1.8796992481213692E-2</v>
      </c>
      <c r="L32" s="42">
        <f t="shared" si="5"/>
        <v>1.1373976342127889E-2</v>
      </c>
      <c r="M32" s="42">
        <f t="shared" si="5"/>
        <v>-2.3677979478833322E-3</v>
      </c>
      <c r="N32" s="42">
        <f t="shared" si="5"/>
        <v>2.5007814942057394E-3</v>
      </c>
      <c r="O32" s="42">
        <f t="shared" si="5"/>
        <v>1.1571638964937847E-3</v>
      </c>
      <c r="P32" s="42">
        <f t="shared" si="5"/>
        <v>0</v>
      </c>
      <c r="Q32" s="42">
        <f>Q30-Q26</f>
        <v>-5.1020408163111597E-3</v>
      </c>
      <c r="R32" s="42">
        <f t="shared" si="5"/>
        <v>-6.2036877477282815E-3</v>
      </c>
      <c r="S32" s="42">
        <f t="shared" si="5"/>
        <v>1.6598284222311577E-2</v>
      </c>
      <c r="T32" s="42">
        <f t="shared" si="5"/>
        <v>8.417508417480235E-3</v>
      </c>
      <c r="U32" s="42">
        <f t="shared" si="5"/>
        <v>-6.4935064934985576E-3</v>
      </c>
      <c r="V32" s="42">
        <f t="shared" si="5"/>
        <v>1.1488511488494169E-2</v>
      </c>
      <c r="W32" s="42">
        <f t="shared" si="5"/>
        <v>-5.4945054944965932E-3</v>
      </c>
      <c r="X32" s="42">
        <f t="shared" si="5"/>
        <v>9.2341118957079971E-3</v>
      </c>
      <c r="Y32" s="42">
        <f t="shared" si="5"/>
        <v>2.2918258212314413E-3</v>
      </c>
      <c r="Z32" s="42">
        <f t="shared" si="5"/>
        <v>3.8961038961033978E-2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308">
        <f>B24/B27</f>
        <v>0.11122047244094488</v>
      </c>
      <c r="C33" s="308">
        <f t="shared" ref="C33:Z33" si="6">C24/C27</f>
        <v>0.11306930693069307</v>
      </c>
      <c r="D33" s="308">
        <f t="shared" si="6"/>
        <v>0.11342685370741483</v>
      </c>
      <c r="E33" s="308">
        <f t="shared" si="6"/>
        <v>0.11238390092879257</v>
      </c>
      <c r="F33" s="308">
        <f t="shared" si="6"/>
        <v>0.11818181818181819</v>
      </c>
      <c r="G33" s="308">
        <f t="shared" si="6"/>
        <v>0.11601208459214502</v>
      </c>
      <c r="H33" s="308">
        <f t="shared" si="6"/>
        <v>0.11354401805869074</v>
      </c>
      <c r="I33" s="308">
        <f t="shared" si="6"/>
        <v>0.11327201051248358</v>
      </c>
      <c r="J33" s="308">
        <f t="shared" si="6"/>
        <v>0.11160130718954248</v>
      </c>
      <c r="K33" s="308">
        <f t="shared" si="6"/>
        <v>0.10842105263157896</v>
      </c>
      <c r="L33" s="308">
        <f t="shared" si="6"/>
        <v>0.11401273885350317</v>
      </c>
      <c r="M33" s="308">
        <f t="shared" si="6"/>
        <v>0.10911602209944751</v>
      </c>
      <c r="N33" s="308">
        <f t="shared" si="6"/>
        <v>0.11028446389496717</v>
      </c>
      <c r="O33" s="308">
        <f t="shared" si="6"/>
        <v>0.106480117820324</v>
      </c>
      <c r="P33" s="308">
        <f t="shared" si="6"/>
        <v>0.10854545454545456</v>
      </c>
      <c r="Q33" s="308">
        <f t="shared" si="6"/>
        <v>0.1125</v>
      </c>
      <c r="R33" s="308">
        <f t="shared" si="6"/>
        <v>0.11314837153196622</v>
      </c>
      <c r="S33" s="308">
        <f t="shared" si="6"/>
        <v>0.11644908616187991</v>
      </c>
      <c r="T33" s="308">
        <f t="shared" si="6"/>
        <v>0.11851851851851852</v>
      </c>
      <c r="U33" s="308">
        <f t="shared" si="6"/>
        <v>0.11599999999999999</v>
      </c>
      <c r="V33" s="308">
        <f t="shared" si="6"/>
        <v>0.11486013986013986</v>
      </c>
      <c r="W33" s="308">
        <f t="shared" si="6"/>
        <v>0.11403846153846153</v>
      </c>
      <c r="X33" s="308">
        <f t="shared" si="6"/>
        <v>0.11577946768060836</v>
      </c>
      <c r="Y33" s="308">
        <f t="shared" si="6"/>
        <v>0.10828877005347594</v>
      </c>
      <c r="Z33" s="308">
        <f t="shared" si="6"/>
        <v>0.11363636363636363</v>
      </c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5" t="s">
        <v>8</v>
      </c>
      <c r="C35" s="1036"/>
      <c r="D35" s="1036"/>
      <c r="E35" s="1036"/>
      <c r="F35" s="1036"/>
      <c r="G35" s="1036"/>
      <c r="H35" s="1036"/>
      <c r="I35" s="1036"/>
      <c r="J35" s="1037"/>
      <c r="K35" s="244"/>
      <c r="L35" s="42"/>
      <c r="M35" s="42"/>
      <c r="N35" s="42"/>
      <c r="O35" s="44"/>
      <c r="P35" s="88" t="s">
        <v>18</v>
      </c>
      <c r="Q35" s="1031" t="s">
        <v>8</v>
      </c>
      <c r="R35" s="1032"/>
      <c r="S35" s="1032"/>
      <c r="T35" s="1033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266">
        <v>46.2</v>
      </c>
      <c r="C38" s="267">
        <v>52</v>
      </c>
      <c r="D38" s="267">
        <v>43.7</v>
      </c>
      <c r="E38" s="267">
        <v>36.299999999999997</v>
      </c>
      <c r="F38" s="267">
        <v>20.399999999999999</v>
      </c>
      <c r="G38" s="267">
        <v>42.6</v>
      </c>
      <c r="H38" s="267">
        <v>86.7</v>
      </c>
      <c r="I38" s="123">
        <v>44.7</v>
      </c>
      <c r="J38" s="98">
        <f t="shared" ref="J38:J45" si="7">SUM(B38:I38)</f>
        <v>372.59999999999997</v>
      </c>
      <c r="K38" s="49"/>
      <c r="L38" s="42"/>
      <c r="M38" s="42"/>
      <c r="N38" s="42"/>
      <c r="O38" s="2"/>
      <c r="P38" s="146" t="s">
        <v>51</v>
      </c>
      <c r="Q38" s="18">
        <v>13.9</v>
      </c>
      <c r="R38" s="19">
        <v>21.2</v>
      </c>
      <c r="S38" s="104">
        <v>14.9</v>
      </c>
      <c r="T38" s="264">
        <f t="shared" ref="T38:T45" si="8">SUM(Q38:S38)</f>
        <v>50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46.2</v>
      </c>
      <c r="C39" s="267">
        <v>52</v>
      </c>
      <c r="D39" s="267">
        <v>43.7</v>
      </c>
      <c r="E39" s="267">
        <v>36.299999999999997</v>
      </c>
      <c r="F39" s="267">
        <v>20.399999999999999</v>
      </c>
      <c r="G39" s="267">
        <v>42.6</v>
      </c>
      <c r="H39" s="267">
        <v>86.7</v>
      </c>
      <c r="I39" s="123">
        <v>44.7</v>
      </c>
      <c r="J39" s="98">
        <f t="shared" si="7"/>
        <v>372.59999999999997</v>
      </c>
      <c r="K39" s="309"/>
      <c r="L39" s="42"/>
      <c r="M39" s="42"/>
      <c r="N39" s="42"/>
      <c r="O39" s="2"/>
      <c r="P39" s="146" t="s">
        <v>24</v>
      </c>
      <c r="Q39" s="18">
        <v>13.9</v>
      </c>
      <c r="R39" s="19">
        <v>21.2</v>
      </c>
      <c r="S39" s="104">
        <v>14.9</v>
      </c>
      <c r="T39" s="264">
        <f t="shared" si="8"/>
        <v>50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47.6</v>
      </c>
      <c r="C40" s="19">
        <v>54</v>
      </c>
      <c r="D40" s="19">
        <v>45.4</v>
      </c>
      <c r="E40" s="19">
        <v>37.9</v>
      </c>
      <c r="F40" s="19">
        <v>20.8</v>
      </c>
      <c r="G40" s="19">
        <v>43.9</v>
      </c>
      <c r="H40" s="19">
        <v>90.2</v>
      </c>
      <c r="I40" s="20">
        <v>46</v>
      </c>
      <c r="J40" s="98">
        <f t="shared" si="7"/>
        <v>385.8</v>
      </c>
      <c r="K40" s="49"/>
      <c r="L40" s="196"/>
      <c r="M40" s="196"/>
      <c r="N40" s="196"/>
      <c r="O40" s="2"/>
      <c r="P40" s="146" t="s">
        <v>20</v>
      </c>
      <c r="Q40" s="18">
        <v>14</v>
      </c>
      <c r="R40" s="19">
        <v>22.3</v>
      </c>
      <c r="S40" s="104">
        <v>15.6</v>
      </c>
      <c r="T40" s="264">
        <f t="shared" si="8"/>
        <v>51.9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47.6</v>
      </c>
      <c r="C41" s="19">
        <v>54</v>
      </c>
      <c r="D41" s="19">
        <v>45.4</v>
      </c>
      <c r="E41" s="19">
        <v>37.9</v>
      </c>
      <c r="F41" s="19">
        <v>20.8</v>
      </c>
      <c r="G41" s="19">
        <v>43.9</v>
      </c>
      <c r="H41" s="19">
        <v>90.2</v>
      </c>
      <c r="I41" s="20">
        <v>46.1</v>
      </c>
      <c r="J41" s="98">
        <f t="shared" si="7"/>
        <v>385.90000000000003</v>
      </c>
      <c r="K41" s="49"/>
      <c r="L41" s="2"/>
      <c r="M41" s="2"/>
      <c r="N41" s="2"/>
      <c r="O41" s="2"/>
      <c r="P41" s="146" t="s">
        <v>28</v>
      </c>
      <c r="Q41" s="18">
        <v>14</v>
      </c>
      <c r="R41" s="19">
        <v>22.3</v>
      </c>
      <c r="S41" s="104">
        <v>15.6</v>
      </c>
      <c r="T41" s="264">
        <f t="shared" si="8"/>
        <v>51.9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47.6</v>
      </c>
      <c r="C42" s="19">
        <v>54</v>
      </c>
      <c r="D42" s="19">
        <v>45.4</v>
      </c>
      <c r="E42" s="19">
        <v>37.9</v>
      </c>
      <c r="F42" s="19">
        <v>20.9</v>
      </c>
      <c r="G42" s="19">
        <v>43.9</v>
      </c>
      <c r="H42" s="19">
        <v>90.2</v>
      </c>
      <c r="I42" s="20">
        <v>46.1</v>
      </c>
      <c r="J42" s="98">
        <f t="shared" si="7"/>
        <v>386.00000000000006</v>
      </c>
      <c r="K42" s="49"/>
      <c r="L42" s="222"/>
      <c r="M42" s="222"/>
      <c r="N42" s="222"/>
      <c r="O42" s="2"/>
      <c r="P42" s="146" t="s">
        <v>21</v>
      </c>
      <c r="Q42" s="18">
        <v>14</v>
      </c>
      <c r="R42" s="19">
        <v>22.3</v>
      </c>
      <c r="S42" s="104">
        <v>15.6</v>
      </c>
      <c r="T42" s="264">
        <f t="shared" si="8"/>
        <v>51.9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47.6</v>
      </c>
      <c r="C43" s="19">
        <v>54.1</v>
      </c>
      <c r="D43" s="19">
        <v>45.4</v>
      </c>
      <c r="E43" s="19">
        <v>37.9</v>
      </c>
      <c r="F43" s="19">
        <v>20.9</v>
      </c>
      <c r="G43" s="19">
        <v>43.9</v>
      </c>
      <c r="H43" s="19">
        <v>90.2</v>
      </c>
      <c r="I43" s="20">
        <v>46.1</v>
      </c>
      <c r="J43" s="98">
        <f t="shared" si="7"/>
        <v>386.1</v>
      </c>
      <c r="K43" s="49"/>
      <c r="L43" s="43"/>
      <c r="M43" s="43"/>
      <c r="N43" s="43"/>
      <c r="O43" s="2"/>
      <c r="P43" s="146" t="s">
        <v>22</v>
      </c>
      <c r="Q43" s="18">
        <v>14</v>
      </c>
      <c r="R43" s="19">
        <v>22.4</v>
      </c>
      <c r="S43" s="104">
        <v>15.7</v>
      </c>
      <c r="T43" s="264">
        <f t="shared" si="8"/>
        <v>52.099999999999994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47.6</v>
      </c>
      <c r="C44" s="19">
        <v>54.1</v>
      </c>
      <c r="D44" s="19">
        <v>45.4</v>
      </c>
      <c r="E44" s="19">
        <v>37.9</v>
      </c>
      <c r="F44" s="19">
        <v>20.9</v>
      </c>
      <c r="G44" s="19">
        <v>44</v>
      </c>
      <c r="H44" s="19">
        <v>90.3</v>
      </c>
      <c r="I44" s="20">
        <v>46.1</v>
      </c>
      <c r="J44" s="272">
        <f t="shared" si="7"/>
        <v>386.3</v>
      </c>
      <c r="K44" s="49"/>
      <c r="L44" s="41"/>
      <c r="M44" s="41"/>
      <c r="N44" s="41"/>
      <c r="O44" s="2"/>
      <c r="P44" s="146" t="s">
        <v>23</v>
      </c>
      <c r="Q44" s="18">
        <v>14.1</v>
      </c>
      <c r="R44" s="19">
        <v>22.4</v>
      </c>
      <c r="S44" s="104">
        <v>15.7</v>
      </c>
      <c r="T44" s="265">
        <f t="shared" si="8"/>
        <v>52.2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9">SUM(B38:B44)</f>
        <v>330.40000000000003</v>
      </c>
      <c r="C45" s="120">
        <f t="shared" si="9"/>
        <v>374.20000000000005</v>
      </c>
      <c r="D45" s="120">
        <f t="shared" si="9"/>
        <v>314.39999999999998</v>
      </c>
      <c r="E45" s="120">
        <f t="shared" si="9"/>
        <v>262.10000000000002</v>
      </c>
      <c r="F45" s="120">
        <f t="shared" si="9"/>
        <v>145.1</v>
      </c>
      <c r="G45" s="120">
        <f t="shared" si="9"/>
        <v>304.8</v>
      </c>
      <c r="H45" s="120">
        <f t="shared" si="9"/>
        <v>624.5</v>
      </c>
      <c r="I45" s="121">
        <f t="shared" si="9"/>
        <v>319.8</v>
      </c>
      <c r="J45" s="275">
        <f t="shared" si="7"/>
        <v>2675.3</v>
      </c>
      <c r="K45" s="49"/>
      <c r="L45" s="42"/>
      <c r="M45" s="42"/>
      <c r="N45" s="42"/>
      <c r="P45" s="80" t="s">
        <v>9</v>
      </c>
      <c r="Q45" s="200">
        <f>SUM(Q38:Q44)</f>
        <v>97.899999999999991</v>
      </c>
      <c r="R45" s="201">
        <f>SUM(R38:R44)</f>
        <v>154.1</v>
      </c>
      <c r="S45" s="201">
        <f>SUM(S38:S44)</f>
        <v>108</v>
      </c>
      <c r="T45" s="313">
        <f t="shared" si="8"/>
        <v>360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109</v>
      </c>
      <c r="C46" s="24">
        <v>110</v>
      </c>
      <c r="D46" s="24">
        <v>112</v>
      </c>
      <c r="E46" s="24">
        <v>114.5</v>
      </c>
      <c r="F46" s="24">
        <v>114.5</v>
      </c>
      <c r="G46" s="24">
        <v>112.5</v>
      </c>
      <c r="H46" s="24">
        <v>110</v>
      </c>
      <c r="I46" s="25">
        <v>107</v>
      </c>
      <c r="J46" s="128">
        <f>+((J45/J47)/7)*1000</f>
        <v>110.68222249803485</v>
      </c>
      <c r="K46" s="50"/>
      <c r="L46" s="49"/>
      <c r="M46" s="49"/>
      <c r="N46" s="49"/>
      <c r="P46" s="93" t="s">
        <v>11</v>
      </c>
      <c r="Q46" s="63">
        <v>117.5</v>
      </c>
      <c r="R46" s="24">
        <v>116.5</v>
      </c>
      <c r="S46" s="24">
        <v>116</v>
      </c>
      <c r="T46" s="234">
        <f>+((T45/T47)/7)*1000</f>
        <v>116.61807580174928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486</v>
      </c>
      <c r="D47" s="27">
        <v>401</v>
      </c>
      <c r="E47" s="27">
        <v>327</v>
      </c>
      <c r="F47" s="27">
        <v>181</v>
      </c>
      <c r="G47" s="27">
        <v>387</v>
      </c>
      <c r="H47" s="27">
        <v>811</v>
      </c>
      <c r="I47" s="28">
        <v>427</v>
      </c>
      <c r="J47" s="129">
        <f>SUM(B47:I47)</f>
        <v>3453</v>
      </c>
      <c r="K47" s="41"/>
      <c r="L47" s="41"/>
      <c r="M47" s="41"/>
      <c r="N47" s="49"/>
      <c r="O47" s="51"/>
      <c r="P47" s="71" t="s">
        <v>12</v>
      </c>
      <c r="Q47" s="79">
        <v>119</v>
      </c>
      <c r="R47" s="79">
        <v>189</v>
      </c>
      <c r="S47" s="79">
        <v>133</v>
      </c>
      <c r="T47" s="235">
        <f>SUM(Q47:S47)</f>
        <v>441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47.595800000000004</v>
      </c>
      <c r="C48" s="31">
        <f t="shared" ref="C48:I48" si="10">((((C46*7)*C47)/1000)-(C38+C39))/5</f>
        <v>54.044000000000004</v>
      </c>
      <c r="D48" s="31">
        <f t="shared" si="10"/>
        <v>45.396799999999999</v>
      </c>
      <c r="E48" s="31">
        <f t="shared" si="10"/>
        <v>37.898100000000007</v>
      </c>
      <c r="F48" s="31">
        <f t="shared" si="10"/>
        <v>20.854299999999999</v>
      </c>
      <c r="G48" s="31">
        <f t="shared" si="10"/>
        <v>43.912500000000001</v>
      </c>
      <c r="H48" s="31">
        <f t="shared" si="10"/>
        <v>90.214000000000013</v>
      </c>
      <c r="I48" s="32">
        <f t="shared" si="10"/>
        <v>46.084599999999995</v>
      </c>
      <c r="J48" s="130">
        <f>((J45*1000)/J47)/7</f>
        <v>110.68222249803485</v>
      </c>
      <c r="K48" s="54"/>
      <c r="L48" s="54"/>
      <c r="M48" s="41"/>
      <c r="N48" s="49"/>
      <c r="P48" s="72" t="s">
        <v>13</v>
      </c>
      <c r="Q48" s="65">
        <f>((((Q46*7)*Q47)/1000)-(Q38+Q39))/5</f>
        <v>14.015499999999999</v>
      </c>
      <c r="R48" s="65">
        <f>((((R46*7)*R47)/1000)-(R38+R39))/5</f>
        <v>22.3459</v>
      </c>
      <c r="S48" s="65">
        <f>((((S46*7)*S47)/1000)-(S38+S39))/5</f>
        <v>15.639199999999999</v>
      </c>
      <c r="T48" s="253">
        <f>((T45*1000)/T47)/7</f>
        <v>116.61807580174927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1">((B47*B46)*7)/1000</f>
        <v>330.37900000000002</v>
      </c>
      <c r="C49" s="282">
        <f t="shared" si="11"/>
        <v>374.22</v>
      </c>
      <c r="D49" s="282">
        <f t="shared" si="11"/>
        <v>314.38400000000001</v>
      </c>
      <c r="E49" s="282">
        <f t="shared" si="11"/>
        <v>262.09050000000002</v>
      </c>
      <c r="F49" s="282">
        <f t="shared" si="11"/>
        <v>145.07149999999999</v>
      </c>
      <c r="G49" s="282">
        <f t="shared" si="11"/>
        <v>304.76249999999999</v>
      </c>
      <c r="H49" s="282">
        <f t="shared" si="11"/>
        <v>624.47</v>
      </c>
      <c r="I49" s="284">
        <f t="shared" si="11"/>
        <v>319.82299999999998</v>
      </c>
      <c r="J49" s="108"/>
      <c r="K49" s="56"/>
      <c r="L49" s="56"/>
      <c r="M49" s="41"/>
      <c r="N49" s="49"/>
      <c r="P49" s="73" t="s">
        <v>14</v>
      </c>
      <c r="Q49" s="285">
        <f>((Q47*Q46)*7)/1000</f>
        <v>97.877499999999998</v>
      </c>
      <c r="R49" s="282">
        <f>((R47*R46)*7)/1000</f>
        <v>154.12950000000001</v>
      </c>
      <c r="S49" s="282">
        <f>((S47*S46)*7)/1000</f>
        <v>107.996</v>
      </c>
      <c r="T49" s="254"/>
    </row>
    <row r="50" spans="1:33" ht="33.75" customHeight="1" thickBot="1" x14ac:dyDescent="0.3">
      <c r="A50" s="152" t="s">
        <v>15</v>
      </c>
      <c r="B50" s="37">
        <f t="shared" ref="B50:I50" si="12">+(B45/B47)/7*1000</f>
        <v>109.00692840646653</v>
      </c>
      <c r="C50" s="38">
        <f t="shared" si="12"/>
        <v>109.99412110523222</v>
      </c>
      <c r="D50" s="38">
        <f t="shared" si="12"/>
        <v>112.00570003562522</v>
      </c>
      <c r="E50" s="38">
        <f t="shared" si="12"/>
        <v>114.50415028396681</v>
      </c>
      <c r="F50" s="38">
        <f t="shared" si="12"/>
        <v>114.52249408050511</v>
      </c>
      <c r="G50" s="38">
        <f t="shared" si="12"/>
        <v>112.51384274640088</v>
      </c>
      <c r="H50" s="38">
        <f t="shared" si="12"/>
        <v>110.0052844812401</v>
      </c>
      <c r="I50" s="39">
        <f t="shared" si="12"/>
        <v>106.99230511876883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117.52701080432172</v>
      </c>
      <c r="R50" s="38">
        <f>+(R45/R47)/7*1000</f>
        <v>116.4777021919879</v>
      </c>
      <c r="S50" s="38">
        <f>+(S45/S47)/7*1000</f>
        <v>116.00429645542428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-2.1000000000015007E-2</v>
      </c>
      <c r="C51" s="42">
        <f t="shared" ref="C51:I52" si="13">C49-C45</f>
        <v>1.999999999998181E-2</v>
      </c>
      <c r="D51" s="42">
        <f t="shared" si="13"/>
        <v>-1.5999999999962711E-2</v>
      </c>
      <c r="E51" s="42">
        <f t="shared" si="13"/>
        <v>-9.5000000000027285E-3</v>
      </c>
      <c r="F51" s="42">
        <f t="shared" si="13"/>
        <v>-2.8500000000008185E-2</v>
      </c>
      <c r="G51" s="42">
        <f t="shared" si="13"/>
        <v>-3.7500000000022737E-2</v>
      </c>
      <c r="H51" s="42">
        <f t="shared" si="13"/>
        <v>-2.9999999999972715E-2</v>
      </c>
      <c r="I51" s="42">
        <f t="shared" si="13"/>
        <v>2.2999999999967713E-2</v>
      </c>
      <c r="J51" s="41"/>
      <c r="K51" s="45"/>
      <c r="L51" s="45"/>
      <c r="M51" s="56"/>
      <c r="N51" s="41"/>
      <c r="O51" s="41"/>
      <c r="P51" s="42"/>
      <c r="Q51" s="42">
        <f t="shared" ref="Q51:S52" si="14">Q49-Q45</f>
        <v>-2.2499999999993747E-2</v>
      </c>
      <c r="R51" s="42">
        <f t="shared" si="14"/>
        <v>2.950000000001296E-2</v>
      </c>
      <c r="S51" s="42">
        <f t="shared" si="14"/>
        <v>-4.0000000000048885E-3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6.9284064665282585E-3</v>
      </c>
      <c r="C52" s="42">
        <f t="shared" si="13"/>
        <v>-5.8788947677754777E-3</v>
      </c>
      <c r="D52" s="42">
        <f t="shared" si="13"/>
        <v>5.7000356252245865E-3</v>
      </c>
      <c r="E52" s="42">
        <f t="shared" si="13"/>
        <v>4.150283966808388E-3</v>
      </c>
      <c r="F52" s="42">
        <f t="shared" si="13"/>
        <v>2.2494080505111924E-2</v>
      </c>
      <c r="G52" s="42">
        <f t="shared" si="13"/>
        <v>1.3842746400882788E-2</v>
      </c>
      <c r="H52" s="42">
        <f t="shared" si="13"/>
        <v>5.2844812400962837E-3</v>
      </c>
      <c r="I52" s="42">
        <f t="shared" si="13"/>
        <v>-7.6948812311741221E-3</v>
      </c>
      <c r="K52" s="2"/>
      <c r="L52" s="2"/>
      <c r="M52" s="45"/>
      <c r="N52" s="41"/>
      <c r="O52" s="42"/>
      <c r="P52" s="42"/>
      <c r="Q52" s="42">
        <f t="shared" si="14"/>
        <v>2.7010804321719206E-2</v>
      </c>
      <c r="R52" s="42">
        <f t="shared" si="14"/>
        <v>-2.229780801209813E-2</v>
      </c>
      <c r="S52" s="42">
        <f t="shared" si="14"/>
        <v>4.2964554242814756E-3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18"/>
      <c r="P55" s="1018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31" t="s">
        <v>63</v>
      </c>
      <c r="C56" s="1032"/>
      <c r="D56" s="1032"/>
      <c r="E56" s="1032"/>
      <c r="F56" s="1032"/>
      <c r="G56" s="1033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x14ac:dyDescent="0.25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8">
        <v>20.7</v>
      </c>
      <c r="C59" s="61">
        <v>31.3</v>
      </c>
      <c r="D59" s="61">
        <v>40.1</v>
      </c>
      <c r="E59" s="61">
        <v>39</v>
      </c>
      <c r="F59" s="61">
        <v>48.8</v>
      </c>
      <c r="G59" s="264">
        <f t="shared" ref="G59:G65" si="15">SUM(B59:F59)</f>
        <v>179.89999999999998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20.7</v>
      </c>
      <c r="C60" s="61">
        <v>31.3</v>
      </c>
      <c r="D60" s="61">
        <v>40.1</v>
      </c>
      <c r="E60" s="61">
        <v>39</v>
      </c>
      <c r="F60" s="61">
        <v>48.8</v>
      </c>
      <c r="G60" s="264">
        <f t="shared" si="15"/>
        <v>179.89999999999998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21.1</v>
      </c>
      <c r="C61" s="61">
        <v>32.700000000000003</v>
      </c>
      <c r="D61" s="61">
        <v>42</v>
      </c>
      <c r="E61" s="61">
        <v>40.9</v>
      </c>
      <c r="F61" s="61">
        <v>51</v>
      </c>
      <c r="G61" s="264">
        <f t="shared" si="15"/>
        <v>187.70000000000002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21.1</v>
      </c>
      <c r="C62" s="61">
        <v>32.700000000000003</v>
      </c>
      <c r="D62" s="61">
        <v>42</v>
      </c>
      <c r="E62" s="61">
        <v>40.9</v>
      </c>
      <c r="F62" s="61">
        <v>51</v>
      </c>
      <c r="G62" s="264">
        <f t="shared" si="15"/>
        <v>187.70000000000002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21.1</v>
      </c>
      <c r="C63" s="61">
        <v>32.700000000000003</v>
      </c>
      <c r="D63" s="61">
        <v>42</v>
      </c>
      <c r="E63" s="61">
        <v>40.9</v>
      </c>
      <c r="F63" s="61">
        <v>51</v>
      </c>
      <c r="G63" s="264">
        <f t="shared" si="15"/>
        <v>187.70000000000002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21.1</v>
      </c>
      <c r="C64" s="61">
        <v>32.799999999999997</v>
      </c>
      <c r="D64" s="61">
        <v>42.1</v>
      </c>
      <c r="E64" s="61">
        <v>41</v>
      </c>
      <c r="F64" s="61">
        <v>51</v>
      </c>
      <c r="G64" s="264">
        <f t="shared" si="15"/>
        <v>188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21.1</v>
      </c>
      <c r="C65" s="61">
        <v>32.799999999999997</v>
      </c>
      <c r="D65" s="61">
        <v>42.1</v>
      </c>
      <c r="E65" s="61">
        <v>41</v>
      </c>
      <c r="F65" s="61">
        <v>51.1</v>
      </c>
      <c r="G65" s="265">
        <f t="shared" si="15"/>
        <v>188.1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6">SUM(B59:B65)</f>
        <v>146.89999999999998</v>
      </c>
      <c r="C66" s="120">
        <f t="shared" si="16"/>
        <v>226.3</v>
      </c>
      <c r="D66" s="120">
        <f t="shared" si="16"/>
        <v>290.39999999999998</v>
      </c>
      <c r="E66" s="120">
        <f t="shared" si="16"/>
        <v>282.70000000000005</v>
      </c>
      <c r="F66" s="120">
        <f t="shared" si="16"/>
        <v>352.70000000000005</v>
      </c>
      <c r="G66" s="326">
        <f t="shared" si="16"/>
        <v>1299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122</v>
      </c>
      <c r="C67" s="24">
        <v>122</v>
      </c>
      <c r="D67" s="24">
        <v>122</v>
      </c>
      <c r="E67" s="24">
        <v>122</v>
      </c>
      <c r="F67" s="24">
        <v>122</v>
      </c>
      <c r="G67" s="234">
        <f>+((G66/G68)/7)*1000</f>
        <v>122.00619892927585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172</v>
      </c>
      <c r="C68" s="278">
        <v>265</v>
      </c>
      <c r="D68" s="278">
        <v>340</v>
      </c>
      <c r="E68" s="278">
        <v>331</v>
      </c>
      <c r="F68" s="278">
        <v>413</v>
      </c>
      <c r="G68" s="235">
        <f>SUM(B68:F68)</f>
        <v>1521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21.0976</v>
      </c>
      <c r="C69" s="30">
        <f>((((C67*7)*C68)/1000)-(C59+C60))/5</f>
        <v>32.742000000000004</v>
      </c>
      <c r="D69" s="30">
        <f>((((D67*7)*D68)/1000)-(D59+D60))/5</f>
        <v>42.032000000000004</v>
      </c>
      <c r="E69" s="30">
        <f>((((E67*7)*E68)/1000)-(E59+E60))/5</f>
        <v>40.934799999999996</v>
      </c>
      <c r="F69" s="30">
        <f>((((F67*7)*F68)/1000)-(F59+F60))/5</f>
        <v>51.020400000000002</v>
      </c>
      <c r="G69" s="257">
        <f>((G66*1000)/G68)/7</f>
        <v>122.00619892927584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146.88800000000001</v>
      </c>
      <c r="C70" s="282">
        <f>((C68*C67)*7)/1000</f>
        <v>226.31</v>
      </c>
      <c r="D70" s="282">
        <f>((D68*D67)*7)/1000</f>
        <v>290.36</v>
      </c>
      <c r="E70" s="282">
        <f>((E68*E67)*7)/1000</f>
        <v>282.67399999999998</v>
      </c>
      <c r="F70" s="282">
        <f>((F68*F67)*7)/1000</f>
        <v>352.702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122.00996677740862</v>
      </c>
      <c r="C71" s="38">
        <f>+(C66/C68)/7*1000</f>
        <v>121.9946091644205</v>
      </c>
      <c r="D71" s="38">
        <f>+(D66/D68)/7*1000</f>
        <v>122.01680672268907</v>
      </c>
      <c r="E71" s="38">
        <f>+(E66/E68)/7*1000</f>
        <v>122.01122140699182</v>
      </c>
      <c r="F71" s="38">
        <f>+(F66/F68)/7*1000</f>
        <v>121.99930819785543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-1.1999999999972033E-2</v>
      </c>
      <c r="C72" s="42">
        <f t="shared" ref="C72:F73" si="17">C70-C66</f>
        <v>9.9999999999909051E-3</v>
      </c>
      <c r="D72" s="42">
        <f t="shared" si="17"/>
        <v>-3.999999999996362E-2</v>
      </c>
      <c r="E72" s="42">
        <f t="shared" si="17"/>
        <v>-2.6000000000067303E-2</v>
      </c>
      <c r="F72" s="42">
        <f t="shared" si="17"/>
        <v>1.9999999999527063E-3</v>
      </c>
      <c r="K72" s="45"/>
      <c r="L72" s="45"/>
      <c r="M72" s="45"/>
    </row>
    <row r="73" spans="1:30" ht="33.75" customHeight="1" x14ac:dyDescent="0.25">
      <c r="B73" s="42">
        <f>B71-B67</f>
        <v>9.9667774086213967E-3</v>
      </c>
      <c r="C73" s="42">
        <f t="shared" si="17"/>
        <v>-5.3908355795044827E-3</v>
      </c>
      <c r="D73" s="42">
        <f t="shared" si="17"/>
        <v>1.6806722689068465E-2</v>
      </c>
      <c r="E73" s="42">
        <f t="shared" si="17"/>
        <v>1.1221406991822391E-2</v>
      </c>
      <c r="F73" s="42">
        <f t="shared" si="17"/>
        <v>-6.9180214457276179E-4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33"/>
  <dimension ref="A1:AH243"/>
  <sheetViews>
    <sheetView topLeftCell="A43" zoomScale="30" zoomScaleNormal="30" workbookViewId="0">
      <selection activeCell="B65" sqref="B65:E65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0.85546875" style="14"/>
    <col min="36" max="36" width="14.85546875" style="14" bestFit="1" customWidth="1"/>
    <col min="37" max="261" width="10.8554687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0.85546875" style="14"/>
    <col min="292" max="292" width="14.85546875" style="14" bestFit="1" customWidth="1"/>
    <col min="293" max="517" width="10.8554687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0.85546875" style="14"/>
    <col min="548" max="548" width="14.85546875" style="14" bestFit="1" customWidth="1"/>
    <col min="549" max="773" width="10.8554687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0.85546875" style="14"/>
    <col min="804" max="804" width="14.85546875" style="14" bestFit="1" customWidth="1"/>
    <col min="805" max="1029" width="10.8554687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0.85546875" style="14"/>
    <col min="1060" max="1060" width="14.85546875" style="14" bestFit="1" customWidth="1"/>
    <col min="1061" max="1285" width="10.8554687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0.85546875" style="14"/>
    <col min="1316" max="1316" width="14.85546875" style="14" bestFit="1" customWidth="1"/>
    <col min="1317" max="1541" width="10.8554687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0.85546875" style="14"/>
    <col min="1572" max="1572" width="14.85546875" style="14" bestFit="1" customWidth="1"/>
    <col min="1573" max="1797" width="10.8554687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0.85546875" style="14"/>
    <col min="1828" max="1828" width="14.85546875" style="14" bestFit="1" customWidth="1"/>
    <col min="1829" max="2053" width="10.8554687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0.85546875" style="14"/>
    <col min="2084" max="2084" width="14.85546875" style="14" bestFit="1" customWidth="1"/>
    <col min="2085" max="2309" width="10.8554687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0.85546875" style="14"/>
    <col min="2340" max="2340" width="14.85546875" style="14" bestFit="1" customWidth="1"/>
    <col min="2341" max="2565" width="10.8554687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0.85546875" style="14"/>
    <col min="2596" max="2596" width="14.85546875" style="14" bestFit="1" customWidth="1"/>
    <col min="2597" max="2821" width="10.8554687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0.85546875" style="14"/>
    <col min="2852" max="2852" width="14.85546875" style="14" bestFit="1" customWidth="1"/>
    <col min="2853" max="3077" width="10.8554687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0.85546875" style="14"/>
    <col min="3108" max="3108" width="14.85546875" style="14" bestFit="1" customWidth="1"/>
    <col min="3109" max="3333" width="10.8554687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0.85546875" style="14"/>
    <col min="3364" max="3364" width="14.85546875" style="14" bestFit="1" customWidth="1"/>
    <col min="3365" max="3589" width="10.8554687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0.85546875" style="14"/>
    <col min="3620" max="3620" width="14.85546875" style="14" bestFit="1" customWidth="1"/>
    <col min="3621" max="3845" width="10.8554687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0.85546875" style="14"/>
    <col min="3876" max="3876" width="14.85546875" style="14" bestFit="1" customWidth="1"/>
    <col min="3877" max="4101" width="10.8554687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0.85546875" style="14"/>
    <col min="4132" max="4132" width="14.85546875" style="14" bestFit="1" customWidth="1"/>
    <col min="4133" max="4357" width="10.8554687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0.85546875" style="14"/>
    <col min="4388" max="4388" width="14.85546875" style="14" bestFit="1" customWidth="1"/>
    <col min="4389" max="4613" width="10.8554687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0.85546875" style="14"/>
    <col min="4644" max="4644" width="14.85546875" style="14" bestFit="1" customWidth="1"/>
    <col min="4645" max="4869" width="10.8554687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0.85546875" style="14"/>
    <col min="4900" max="4900" width="14.85546875" style="14" bestFit="1" customWidth="1"/>
    <col min="4901" max="5125" width="10.8554687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0.85546875" style="14"/>
    <col min="5156" max="5156" width="14.85546875" style="14" bestFit="1" customWidth="1"/>
    <col min="5157" max="5381" width="10.8554687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0.85546875" style="14"/>
    <col min="5412" max="5412" width="14.85546875" style="14" bestFit="1" customWidth="1"/>
    <col min="5413" max="5637" width="10.8554687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0.85546875" style="14"/>
    <col min="5668" max="5668" width="14.85546875" style="14" bestFit="1" customWidth="1"/>
    <col min="5669" max="5893" width="10.8554687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0.85546875" style="14"/>
    <col min="5924" max="5924" width="14.85546875" style="14" bestFit="1" customWidth="1"/>
    <col min="5925" max="6149" width="10.8554687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0.85546875" style="14"/>
    <col min="6180" max="6180" width="14.85546875" style="14" bestFit="1" customWidth="1"/>
    <col min="6181" max="6405" width="10.8554687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0.85546875" style="14"/>
    <col min="6436" max="6436" width="14.85546875" style="14" bestFit="1" customWidth="1"/>
    <col min="6437" max="6661" width="10.8554687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0.85546875" style="14"/>
    <col min="6692" max="6692" width="14.85546875" style="14" bestFit="1" customWidth="1"/>
    <col min="6693" max="6917" width="10.8554687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0.85546875" style="14"/>
    <col min="6948" max="6948" width="14.85546875" style="14" bestFit="1" customWidth="1"/>
    <col min="6949" max="7173" width="10.8554687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0.85546875" style="14"/>
    <col min="7204" max="7204" width="14.85546875" style="14" bestFit="1" customWidth="1"/>
    <col min="7205" max="7429" width="10.8554687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0.85546875" style="14"/>
    <col min="7460" max="7460" width="14.85546875" style="14" bestFit="1" customWidth="1"/>
    <col min="7461" max="7685" width="10.8554687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0.85546875" style="14"/>
    <col min="7716" max="7716" width="14.85546875" style="14" bestFit="1" customWidth="1"/>
    <col min="7717" max="7941" width="10.8554687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0.85546875" style="14"/>
    <col min="7972" max="7972" width="14.85546875" style="14" bestFit="1" customWidth="1"/>
    <col min="7973" max="8197" width="10.8554687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0.85546875" style="14"/>
    <col min="8228" max="8228" width="14.85546875" style="14" bestFit="1" customWidth="1"/>
    <col min="8229" max="8453" width="10.8554687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0.85546875" style="14"/>
    <col min="8484" max="8484" width="14.85546875" style="14" bestFit="1" customWidth="1"/>
    <col min="8485" max="8709" width="10.8554687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0.85546875" style="14"/>
    <col min="8740" max="8740" width="14.85546875" style="14" bestFit="1" customWidth="1"/>
    <col min="8741" max="8965" width="10.8554687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0.85546875" style="14"/>
    <col min="8996" max="8996" width="14.85546875" style="14" bestFit="1" customWidth="1"/>
    <col min="8997" max="9221" width="10.8554687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0.85546875" style="14"/>
    <col min="9252" max="9252" width="14.85546875" style="14" bestFit="1" customWidth="1"/>
    <col min="9253" max="9477" width="10.8554687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0.85546875" style="14"/>
    <col min="9508" max="9508" width="14.85546875" style="14" bestFit="1" customWidth="1"/>
    <col min="9509" max="9733" width="10.8554687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0.85546875" style="14"/>
    <col min="9764" max="9764" width="14.85546875" style="14" bestFit="1" customWidth="1"/>
    <col min="9765" max="9989" width="10.8554687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0.85546875" style="14"/>
    <col min="10020" max="10020" width="14.85546875" style="14" bestFit="1" customWidth="1"/>
    <col min="10021" max="10245" width="10.8554687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0.85546875" style="14"/>
    <col min="10276" max="10276" width="14.85546875" style="14" bestFit="1" customWidth="1"/>
    <col min="10277" max="10501" width="10.8554687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0.85546875" style="14"/>
    <col min="10532" max="10532" width="14.85546875" style="14" bestFit="1" customWidth="1"/>
    <col min="10533" max="10757" width="10.8554687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0.85546875" style="14"/>
    <col min="10788" max="10788" width="14.85546875" style="14" bestFit="1" customWidth="1"/>
    <col min="10789" max="11013" width="10.8554687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0.85546875" style="14"/>
    <col min="11044" max="11044" width="14.85546875" style="14" bestFit="1" customWidth="1"/>
    <col min="11045" max="11269" width="10.8554687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0.85546875" style="14"/>
    <col min="11300" max="11300" width="14.85546875" style="14" bestFit="1" customWidth="1"/>
    <col min="11301" max="11525" width="10.8554687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0.85546875" style="14"/>
    <col min="11556" max="11556" width="14.85546875" style="14" bestFit="1" customWidth="1"/>
    <col min="11557" max="11781" width="10.8554687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0.85546875" style="14"/>
    <col min="11812" max="11812" width="14.85546875" style="14" bestFit="1" customWidth="1"/>
    <col min="11813" max="12037" width="10.8554687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0.85546875" style="14"/>
    <col min="12068" max="12068" width="14.85546875" style="14" bestFit="1" customWidth="1"/>
    <col min="12069" max="12293" width="10.8554687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0.85546875" style="14"/>
    <col min="12324" max="12324" width="14.85546875" style="14" bestFit="1" customWidth="1"/>
    <col min="12325" max="12549" width="10.8554687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0.85546875" style="14"/>
    <col min="12580" max="12580" width="14.85546875" style="14" bestFit="1" customWidth="1"/>
    <col min="12581" max="12805" width="10.8554687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0.85546875" style="14"/>
    <col min="12836" max="12836" width="14.85546875" style="14" bestFit="1" customWidth="1"/>
    <col min="12837" max="13061" width="10.8554687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0.85546875" style="14"/>
    <col min="13092" max="13092" width="14.85546875" style="14" bestFit="1" customWidth="1"/>
    <col min="13093" max="13317" width="10.8554687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0.85546875" style="14"/>
    <col min="13348" max="13348" width="14.85546875" style="14" bestFit="1" customWidth="1"/>
    <col min="13349" max="13573" width="10.8554687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0.85546875" style="14"/>
    <col min="13604" max="13604" width="14.85546875" style="14" bestFit="1" customWidth="1"/>
    <col min="13605" max="13829" width="10.8554687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0.85546875" style="14"/>
    <col min="13860" max="13860" width="14.85546875" style="14" bestFit="1" customWidth="1"/>
    <col min="13861" max="14085" width="10.8554687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0.85546875" style="14"/>
    <col min="14116" max="14116" width="14.85546875" style="14" bestFit="1" customWidth="1"/>
    <col min="14117" max="14341" width="10.8554687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0.85546875" style="14"/>
    <col min="14372" max="14372" width="14.85546875" style="14" bestFit="1" customWidth="1"/>
    <col min="14373" max="14597" width="10.8554687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0.85546875" style="14"/>
    <col min="14628" max="14628" width="14.85546875" style="14" bestFit="1" customWidth="1"/>
    <col min="14629" max="14853" width="10.8554687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0.85546875" style="14"/>
    <col min="14884" max="14884" width="14.85546875" style="14" bestFit="1" customWidth="1"/>
    <col min="14885" max="15109" width="10.8554687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0.85546875" style="14"/>
    <col min="15140" max="15140" width="14.85546875" style="14" bestFit="1" customWidth="1"/>
    <col min="15141" max="15365" width="10.8554687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0.85546875" style="14"/>
    <col min="15396" max="15396" width="14.85546875" style="14" bestFit="1" customWidth="1"/>
    <col min="15397" max="15621" width="10.8554687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0.85546875" style="14"/>
    <col min="15652" max="15652" width="14.85546875" style="14" bestFit="1" customWidth="1"/>
    <col min="15653" max="15877" width="10.8554687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0.85546875" style="14"/>
    <col min="15908" max="15908" width="14.85546875" style="14" bestFit="1" customWidth="1"/>
    <col min="15909" max="16133" width="10.8554687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0.85546875" style="14"/>
    <col min="16164" max="16164" width="14.85546875" style="14" bestFit="1" customWidth="1"/>
    <col min="16165" max="16384" width="10.8554687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22</v>
      </c>
      <c r="Q11" s="1022"/>
      <c r="R11" s="6"/>
      <c r="S11" s="6"/>
      <c r="T11" s="1"/>
      <c r="U11" s="1"/>
      <c r="V11" s="1" t="s">
        <v>6</v>
      </c>
      <c r="W11" s="95">
        <v>45525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1"/>
      <c r="M14" s="1041"/>
      <c r="N14" s="1041"/>
      <c r="O14" s="1041"/>
      <c r="P14" s="1041"/>
      <c r="Q14" s="1041"/>
      <c r="R14" s="1041"/>
      <c r="S14" s="1041"/>
      <c r="T14" s="1041"/>
      <c r="U14" s="1041"/>
      <c r="V14" s="1041"/>
      <c r="W14" s="1041"/>
      <c r="X14" s="1041"/>
      <c r="Y14" s="1041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1025" t="s">
        <v>63</v>
      </c>
      <c r="M15" s="1026"/>
      <c r="N15" s="1026"/>
      <c r="O15" s="1026"/>
      <c r="P15" s="1030"/>
      <c r="Q15" s="1026" t="s">
        <v>8</v>
      </c>
      <c r="R15" s="1026"/>
      <c r="S15" s="1026"/>
      <c r="T15" s="1026"/>
      <c r="U15" s="1026"/>
      <c r="V15" s="1026"/>
      <c r="W15" s="1026"/>
      <c r="X15" s="1026"/>
      <c r="Y15" s="1026"/>
      <c r="Z15" s="1026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57.1</v>
      </c>
      <c r="D18" s="167">
        <v>56.6</v>
      </c>
      <c r="E18" s="167">
        <v>36.299999999999997</v>
      </c>
      <c r="F18" s="167">
        <v>28.6</v>
      </c>
      <c r="G18" s="167">
        <v>38.4</v>
      </c>
      <c r="H18" s="167">
        <v>50.3</v>
      </c>
      <c r="I18" s="167">
        <v>86.2</v>
      </c>
      <c r="J18" s="167">
        <v>68.3</v>
      </c>
      <c r="K18" s="168">
        <v>41.2</v>
      </c>
      <c r="L18" s="166">
        <v>35.799999999999997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63</v>
      </c>
      <c r="R18" s="19">
        <v>93.8</v>
      </c>
      <c r="S18" s="19">
        <v>44.6</v>
      </c>
      <c r="T18" s="19">
        <v>35.200000000000003</v>
      </c>
      <c r="U18" s="19">
        <v>31.9</v>
      </c>
      <c r="V18" s="19">
        <v>65.7</v>
      </c>
      <c r="W18" s="19">
        <v>59.3</v>
      </c>
      <c r="X18" s="19">
        <v>60.9</v>
      </c>
      <c r="Y18" s="19">
        <v>81</v>
      </c>
      <c r="Z18" s="20">
        <v>7.5</v>
      </c>
      <c r="AA18" s="98">
        <f t="shared" ref="AA18:AA24" si="0">SUM(B18:Z18)</f>
        <v>1320.1000000000001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57.1</v>
      </c>
      <c r="D19" s="19">
        <v>56.6</v>
      </c>
      <c r="E19" s="19">
        <v>36.299999999999997</v>
      </c>
      <c r="F19" s="19">
        <v>28.6</v>
      </c>
      <c r="G19" s="19">
        <v>38.4</v>
      </c>
      <c r="H19" s="19">
        <v>50.3</v>
      </c>
      <c r="I19" s="19">
        <v>86.2</v>
      </c>
      <c r="J19" s="19">
        <v>68.3</v>
      </c>
      <c r="K19" s="104">
        <v>41.2</v>
      </c>
      <c r="L19" s="18">
        <v>35.799999999999997</v>
      </c>
      <c r="M19" s="19">
        <v>39.5</v>
      </c>
      <c r="N19" s="19">
        <v>50.4</v>
      </c>
      <c r="O19" s="19">
        <v>72.3</v>
      </c>
      <c r="P19" s="20">
        <v>59.7</v>
      </c>
      <c r="Q19" s="61">
        <v>63</v>
      </c>
      <c r="R19" s="19">
        <v>93.8</v>
      </c>
      <c r="S19" s="19">
        <v>44.6</v>
      </c>
      <c r="T19" s="19">
        <v>35.200000000000003</v>
      </c>
      <c r="U19" s="19">
        <v>31.9</v>
      </c>
      <c r="V19" s="19">
        <v>65.7</v>
      </c>
      <c r="W19" s="19">
        <v>59.3</v>
      </c>
      <c r="X19" s="19">
        <v>60.9</v>
      </c>
      <c r="Y19" s="19">
        <v>81</v>
      </c>
      <c r="Z19" s="20">
        <v>7.5</v>
      </c>
      <c r="AA19" s="98">
        <f t="shared" si="0"/>
        <v>1320.1000000000001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59.8</v>
      </c>
      <c r="D20" s="19">
        <v>59.4</v>
      </c>
      <c r="E20" s="19">
        <v>39.5</v>
      </c>
      <c r="F20" s="19">
        <v>28.8</v>
      </c>
      <c r="G20" s="19">
        <v>40</v>
      </c>
      <c r="H20" s="19">
        <v>52.2</v>
      </c>
      <c r="I20" s="19">
        <v>90.1</v>
      </c>
      <c r="J20" s="19">
        <v>71.2</v>
      </c>
      <c r="K20" s="104">
        <v>43.6</v>
      </c>
      <c r="L20" s="18">
        <v>37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66.099999999999994</v>
      </c>
      <c r="R20" s="282">
        <v>98.2</v>
      </c>
      <c r="S20" s="282">
        <v>46.7</v>
      </c>
      <c r="T20" s="282">
        <v>36.6</v>
      </c>
      <c r="U20" s="282">
        <v>33.200000000000003</v>
      </c>
      <c r="V20" s="282">
        <v>69</v>
      </c>
      <c r="W20" s="282">
        <v>61.8</v>
      </c>
      <c r="X20" s="282">
        <v>62.1</v>
      </c>
      <c r="Y20" s="282">
        <v>85.4</v>
      </c>
      <c r="Z20" s="20">
        <v>7.7</v>
      </c>
      <c r="AA20" s="98">
        <f t="shared" si="0"/>
        <v>1381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59.9</v>
      </c>
      <c r="D21" s="19">
        <v>59.4</v>
      </c>
      <c r="E21" s="19">
        <v>39.5</v>
      </c>
      <c r="F21" s="19">
        <v>28.9</v>
      </c>
      <c r="G21" s="19">
        <v>40</v>
      </c>
      <c r="H21" s="19">
        <v>52.3</v>
      </c>
      <c r="I21" s="19">
        <v>90.2</v>
      </c>
      <c r="J21" s="19">
        <v>71.2</v>
      </c>
      <c r="K21" s="104">
        <v>43.6</v>
      </c>
      <c r="L21" s="18">
        <v>37</v>
      </c>
      <c r="M21" s="19">
        <v>42</v>
      </c>
      <c r="N21" s="19">
        <v>52.1</v>
      </c>
      <c r="O21" s="282">
        <v>77.5</v>
      </c>
      <c r="P21" s="284">
        <v>61.2</v>
      </c>
      <c r="Q21" s="285">
        <v>66.099999999999994</v>
      </c>
      <c r="R21" s="282">
        <v>98.3</v>
      </c>
      <c r="S21" s="282">
        <v>46.8</v>
      </c>
      <c r="T21" s="282">
        <v>36.6</v>
      </c>
      <c r="U21" s="282">
        <v>33.299999999999997</v>
      </c>
      <c r="V21" s="282">
        <v>69</v>
      </c>
      <c r="W21" s="282">
        <v>61.8</v>
      </c>
      <c r="X21" s="282">
        <v>62.1</v>
      </c>
      <c r="Y21" s="282">
        <v>85.4</v>
      </c>
      <c r="Z21" s="20">
        <v>7.7</v>
      </c>
      <c r="AA21" s="98">
        <f t="shared" si="0"/>
        <v>1381.8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59.9</v>
      </c>
      <c r="D22" s="19">
        <v>59.4</v>
      </c>
      <c r="E22" s="19">
        <v>39.5</v>
      </c>
      <c r="F22" s="19">
        <v>28.9</v>
      </c>
      <c r="G22" s="19">
        <v>40</v>
      </c>
      <c r="H22" s="19">
        <v>52.3</v>
      </c>
      <c r="I22" s="19">
        <v>90.2</v>
      </c>
      <c r="J22" s="19">
        <v>71.2</v>
      </c>
      <c r="K22" s="104">
        <v>43.6</v>
      </c>
      <c r="L22" s="18">
        <v>37</v>
      </c>
      <c r="M22" s="19">
        <v>42</v>
      </c>
      <c r="N22" s="19">
        <v>52.1</v>
      </c>
      <c r="O22" s="282">
        <v>77.5</v>
      </c>
      <c r="P22" s="284">
        <v>61.2</v>
      </c>
      <c r="Q22" s="285">
        <v>66.099999999999994</v>
      </c>
      <c r="R22" s="282">
        <v>98.3</v>
      </c>
      <c r="S22" s="282">
        <v>46.8</v>
      </c>
      <c r="T22" s="282">
        <v>36.6</v>
      </c>
      <c r="U22" s="282">
        <v>33.299999999999997</v>
      </c>
      <c r="V22" s="282">
        <v>69</v>
      </c>
      <c r="W22" s="282">
        <v>61.8</v>
      </c>
      <c r="X22" s="282">
        <v>62.2</v>
      </c>
      <c r="Y22" s="282">
        <v>85.4</v>
      </c>
      <c r="Z22" s="20">
        <v>7.7</v>
      </c>
      <c r="AA22" s="98">
        <f t="shared" si="0"/>
        <v>1381.9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59.9</v>
      </c>
      <c r="D23" s="19">
        <v>59.5</v>
      </c>
      <c r="E23" s="19">
        <v>39.5</v>
      </c>
      <c r="F23" s="19">
        <v>28.9</v>
      </c>
      <c r="G23" s="19">
        <v>40</v>
      </c>
      <c r="H23" s="19">
        <v>52.3</v>
      </c>
      <c r="I23" s="19">
        <v>90.2</v>
      </c>
      <c r="J23" s="19">
        <v>71.2</v>
      </c>
      <c r="K23" s="104">
        <v>43.7</v>
      </c>
      <c r="L23" s="18">
        <v>37</v>
      </c>
      <c r="M23" s="19">
        <v>42</v>
      </c>
      <c r="N23" s="19">
        <v>52.2</v>
      </c>
      <c r="O23" s="282">
        <v>77.599999999999994</v>
      </c>
      <c r="P23" s="284">
        <v>61.2</v>
      </c>
      <c r="Q23" s="285">
        <v>66.2</v>
      </c>
      <c r="R23" s="282">
        <v>98.3</v>
      </c>
      <c r="S23" s="282">
        <v>46.8</v>
      </c>
      <c r="T23" s="282">
        <v>36.700000000000003</v>
      </c>
      <c r="U23" s="282">
        <v>33.299999999999997</v>
      </c>
      <c r="V23" s="282">
        <v>69</v>
      </c>
      <c r="W23" s="282">
        <v>61.8</v>
      </c>
      <c r="X23" s="282">
        <v>62.2</v>
      </c>
      <c r="Y23" s="282">
        <v>85.4</v>
      </c>
      <c r="Z23" s="20">
        <v>7.7</v>
      </c>
      <c r="AA23" s="98">
        <f t="shared" si="0"/>
        <v>1382.5000000000002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59.9</v>
      </c>
      <c r="D24" s="19">
        <v>59.5</v>
      </c>
      <c r="E24" s="19">
        <v>39.6</v>
      </c>
      <c r="F24" s="19">
        <v>28.9</v>
      </c>
      <c r="G24" s="19">
        <v>40.1</v>
      </c>
      <c r="H24" s="19">
        <v>52.3</v>
      </c>
      <c r="I24" s="19">
        <v>90.2</v>
      </c>
      <c r="J24" s="19">
        <v>71.3</v>
      </c>
      <c r="K24" s="104">
        <v>43.7</v>
      </c>
      <c r="L24" s="18">
        <v>37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66.2</v>
      </c>
      <c r="R24" s="282">
        <v>98.3</v>
      </c>
      <c r="S24" s="282">
        <v>46.8</v>
      </c>
      <c r="T24" s="282">
        <v>36.700000000000003</v>
      </c>
      <c r="U24" s="282">
        <v>33.299999999999997</v>
      </c>
      <c r="V24" s="282">
        <v>69.099999999999994</v>
      </c>
      <c r="W24" s="282">
        <v>61.9</v>
      </c>
      <c r="X24" s="282">
        <v>62.2</v>
      </c>
      <c r="Y24" s="282">
        <v>85.4</v>
      </c>
      <c r="Z24" s="20">
        <v>7.8</v>
      </c>
      <c r="AA24" s="98">
        <f t="shared" si="0"/>
        <v>1383.1000000000004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413.59999999999997</v>
      </c>
      <c r="D25" s="120">
        <f t="shared" ref="D25:Z25" si="1">SUM(D18:D24)</f>
        <v>410.4</v>
      </c>
      <c r="E25" s="120">
        <f t="shared" si="1"/>
        <v>270.2</v>
      </c>
      <c r="F25" s="120">
        <f t="shared" si="1"/>
        <v>201.60000000000002</v>
      </c>
      <c r="G25" s="120">
        <f t="shared" si="1"/>
        <v>276.90000000000003</v>
      </c>
      <c r="H25" s="120">
        <f t="shared" si="1"/>
        <v>362.00000000000006</v>
      </c>
      <c r="I25" s="120">
        <f t="shared" si="1"/>
        <v>623.30000000000007</v>
      </c>
      <c r="J25" s="120">
        <f t="shared" si="1"/>
        <v>492.7</v>
      </c>
      <c r="K25" s="268">
        <f t="shared" si="1"/>
        <v>300.59999999999997</v>
      </c>
      <c r="L25" s="122">
        <f t="shared" si="1"/>
        <v>256.60000000000002</v>
      </c>
      <c r="M25" s="120">
        <f t="shared" si="1"/>
        <v>288.89999999999998</v>
      </c>
      <c r="N25" s="120">
        <f t="shared" si="1"/>
        <v>361.5</v>
      </c>
      <c r="O25" s="120">
        <f t="shared" si="1"/>
        <v>532.30000000000007</v>
      </c>
      <c r="P25" s="121">
        <f t="shared" si="1"/>
        <v>425.4</v>
      </c>
      <c r="Q25" s="119">
        <f t="shared" si="1"/>
        <v>456.69999999999993</v>
      </c>
      <c r="R25" s="120">
        <f t="shared" si="1"/>
        <v>679</v>
      </c>
      <c r="S25" s="120">
        <f t="shared" si="1"/>
        <v>323.10000000000002</v>
      </c>
      <c r="T25" s="120">
        <f t="shared" si="1"/>
        <v>253.59999999999997</v>
      </c>
      <c r="U25" s="120">
        <f t="shared" si="1"/>
        <v>230.20000000000005</v>
      </c>
      <c r="V25" s="120">
        <f t="shared" si="1"/>
        <v>476.5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53.6</v>
      </c>
      <c r="AA25" s="326">
        <f>SUM(AA18:AA24)</f>
        <v>9550.5</v>
      </c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116.254016944201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240</v>
      </c>
      <c r="G27" s="27">
        <v>331</v>
      </c>
      <c r="H27" s="27">
        <v>442</v>
      </c>
      <c r="I27" s="27">
        <v>761</v>
      </c>
      <c r="J27" s="27">
        <v>612</v>
      </c>
      <c r="K27" s="156">
        <v>380</v>
      </c>
      <c r="L27" s="26">
        <v>312</v>
      </c>
      <c r="M27" s="27">
        <v>362</v>
      </c>
      <c r="N27" s="27">
        <v>457</v>
      </c>
      <c r="O27" s="27">
        <v>679</v>
      </c>
      <c r="P27" s="28">
        <v>550</v>
      </c>
      <c r="Q27" s="64">
        <v>560</v>
      </c>
      <c r="R27" s="27">
        <v>829</v>
      </c>
      <c r="S27" s="27">
        <v>383</v>
      </c>
      <c r="T27" s="27">
        <v>297</v>
      </c>
      <c r="U27" s="27">
        <v>274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 t="shared" ref="B28:Z28" si="2">((((B26*7)*B27)/1000)-(B18+B19))/5</f>
        <v>59.899199999999993</v>
      </c>
      <c r="C28" s="31">
        <f t="shared" si="2"/>
        <v>59.879000000000005</v>
      </c>
      <c r="D28" s="31">
        <f t="shared" si="2"/>
        <v>59.445500000000003</v>
      </c>
      <c r="E28" s="31">
        <f t="shared" si="2"/>
        <v>39.517900000000004</v>
      </c>
      <c r="F28" s="31">
        <f t="shared" si="2"/>
        <v>28.879999999999995</v>
      </c>
      <c r="G28" s="31">
        <f t="shared" si="2"/>
        <v>40.016300000000001</v>
      </c>
      <c r="H28" s="31">
        <f t="shared" si="2"/>
        <v>52.279600000000002</v>
      </c>
      <c r="I28" s="31">
        <f t="shared" si="2"/>
        <v>90.171800000000005</v>
      </c>
      <c r="J28" s="31">
        <f t="shared" si="2"/>
        <v>71.212000000000018</v>
      </c>
      <c r="K28" s="142">
        <f t="shared" si="2"/>
        <v>43.635999999999996</v>
      </c>
      <c r="L28" s="30">
        <f t="shared" si="2"/>
        <v>37.004000000000005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66.135999999999996</v>
      </c>
      <c r="R28" s="31">
        <f t="shared" si="2"/>
        <v>98.270200000000003</v>
      </c>
      <c r="S28" s="31">
        <f t="shared" si="2"/>
        <v>46.772100000000002</v>
      </c>
      <c r="T28" s="31">
        <f t="shared" si="2"/>
        <v>36.647599999999997</v>
      </c>
      <c r="U28" s="31">
        <f t="shared" si="2"/>
        <v>33.272000000000006</v>
      </c>
      <c r="V28" s="31">
        <f t="shared" si="2"/>
        <v>69.015200000000007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7.7183999999999999</v>
      </c>
      <c r="AA28" s="329">
        <f>((AA25*1000)/7)/AA27</f>
        <v>116.254016944201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413.59500000000003</v>
      </c>
      <c r="D29" s="282">
        <f t="shared" ref="D29:Z29" si="3">((D27*D26)*7)/1000</f>
        <v>410.42750000000001</v>
      </c>
      <c r="E29" s="282">
        <f t="shared" si="3"/>
        <v>270.18950000000001</v>
      </c>
      <c r="F29" s="282">
        <f t="shared" si="3"/>
        <v>201.6</v>
      </c>
      <c r="G29" s="282">
        <f t="shared" si="3"/>
        <v>276.88150000000002</v>
      </c>
      <c r="H29" s="282">
        <f t="shared" si="3"/>
        <v>361.99799999999999</v>
      </c>
      <c r="I29" s="282">
        <f t="shared" si="3"/>
        <v>623.25900000000001</v>
      </c>
      <c r="J29" s="282">
        <f t="shared" si="3"/>
        <v>492.66</v>
      </c>
      <c r="K29" s="283">
        <f t="shared" si="3"/>
        <v>300.58</v>
      </c>
      <c r="L29" s="413">
        <f t="shared" si="3"/>
        <v>256.62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456.68</v>
      </c>
      <c r="R29" s="282">
        <f t="shared" si="3"/>
        <v>678.95100000000002</v>
      </c>
      <c r="S29" s="282">
        <f t="shared" si="3"/>
        <v>323.06049999999999</v>
      </c>
      <c r="T29" s="282">
        <f t="shared" si="3"/>
        <v>253.63800000000001</v>
      </c>
      <c r="U29" s="282">
        <f t="shared" si="3"/>
        <v>230.16</v>
      </c>
      <c r="V29" s="282">
        <f t="shared" si="3"/>
        <v>476.476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53.591999999999999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117.00141442715699</v>
      </c>
      <c r="D30" s="38">
        <f t="shared" si="4"/>
        <v>117.49212711136559</v>
      </c>
      <c r="E30" s="38">
        <f t="shared" si="4"/>
        <v>119.50464396284829</v>
      </c>
      <c r="F30" s="38">
        <f t="shared" si="4"/>
        <v>120.00000000000001</v>
      </c>
      <c r="G30" s="38">
        <f t="shared" si="4"/>
        <v>119.50798446266727</v>
      </c>
      <c r="H30" s="38">
        <f t="shared" si="4"/>
        <v>117.00064641241113</v>
      </c>
      <c r="I30" s="38">
        <f t="shared" si="4"/>
        <v>117.00769663975973</v>
      </c>
      <c r="J30" s="38">
        <f t="shared" si="4"/>
        <v>115.0093370681606</v>
      </c>
      <c r="K30" s="158">
        <f t="shared" si="4"/>
        <v>113.00751879699246</v>
      </c>
      <c r="L30" s="37">
        <f t="shared" si="4"/>
        <v>117.49084249084251</v>
      </c>
      <c r="M30" s="38">
        <f t="shared" si="4"/>
        <v>114.00947119179162</v>
      </c>
      <c r="N30" s="38">
        <f t="shared" si="4"/>
        <v>113.00406376992811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116.50510204081631</v>
      </c>
      <c r="R30" s="38">
        <f t="shared" si="4"/>
        <v>117.00844390832329</v>
      </c>
      <c r="S30" s="38">
        <f t="shared" si="4"/>
        <v>120.51473330846699</v>
      </c>
      <c r="T30" s="38">
        <f t="shared" si="4"/>
        <v>121.98172198172198</v>
      </c>
      <c r="U30" s="38">
        <f t="shared" si="4"/>
        <v>120.02085505735143</v>
      </c>
      <c r="V30" s="38">
        <f t="shared" si="4"/>
        <v>119.005994005994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116.01731601731602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-4.9999999999386091E-3</v>
      </c>
      <c r="D31" s="42">
        <f t="shared" si="5"/>
        <v>2.7500000000031832E-2</v>
      </c>
      <c r="E31" s="42">
        <f t="shared" si="5"/>
        <v>-1.0499999999979082E-2</v>
      </c>
      <c r="F31" s="42">
        <f t="shared" si="5"/>
        <v>0</v>
      </c>
      <c r="G31" s="42">
        <f t="shared" si="5"/>
        <v>-1.850000000001728E-2</v>
      </c>
      <c r="H31" s="42">
        <f t="shared" si="5"/>
        <v>-2.0000000000663931E-3</v>
      </c>
      <c r="I31" s="42">
        <f t="shared" si="5"/>
        <v>-4.100000000005366E-2</v>
      </c>
      <c r="J31" s="42">
        <f t="shared" si="5"/>
        <v>-3.999999999996362E-2</v>
      </c>
      <c r="K31" s="42">
        <f t="shared" si="5"/>
        <v>-1.999999999998181E-2</v>
      </c>
      <c r="L31" s="42">
        <f t="shared" si="5"/>
        <v>1.999999999998181E-2</v>
      </c>
      <c r="M31" s="42">
        <f t="shared" si="5"/>
        <v>-2.4000000000000909E-2</v>
      </c>
      <c r="N31" s="42">
        <f t="shared" si="5"/>
        <v>-1.2999999999976808E-2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-1.9999999999924967E-2</v>
      </c>
      <c r="R31" s="42">
        <f t="shared" si="5"/>
        <v>-4.8999999999978172E-2</v>
      </c>
      <c r="S31" s="42">
        <f t="shared" si="5"/>
        <v>-3.9500000000032287E-2</v>
      </c>
      <c r="T31" s="42">
        <f t="shared" si="5"/>
        <v>3.8000000000039336E-2</v>
      </c>
      <c r="U31" s="42">
        <f t="shared" si="5"/>
        <v>-4.0000000000048885E-2</v>
      </c>
      <c r="V31" s="42">
        <f t="shared" si="5"/>
        <v>-2.4000000000000909E-2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-8.0000000000026716E-3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1.4144271569875855E-3</v>
      </c>
      <c r="D32" s="42">
        <f t="shared" si="5"/>
        <v>-7.8728886344094917E-3</v>
      </c>
      <c r="E32" s="42">
        <f t="shared" si="5"/>
        <v>4.6439628482914941E-3</v>
      </c>
      <c r="F32" s="42">
        <f t="shared" si="5"/>
        <v>0</v>
      </c>
      <c r="G32" s="42">
        <f t="shared" si="5"/>
        <v>7.9844626672667118E-3</v>
      </c>
      <c r="H32" s="42">
        <f t="shared" si="5"/>
        <v>6.4641241112894932E-4</v>
      </c>
      <c r="I32" s="42">
        <f t="shared" si="5"/>
        <v>7.696639759728896E-3</v>
      </c>
      <c r="J32" s="42">
        <f t="shared" si="5"/>
        <v>9.3370681606046446E-3</v>
      </c>
      <c r="K32" s="42">
        <f t="shared" si="5"/>
        <v>7.5187969924570552E-3</v>
      </c>
      <c r="L32" s="42">
        <f t="shared" si="5"/>
        <v>-9.157509157489585E-3</v>
      </c>
      <c r="M32" s="42">
        <f t="shared" si="5"/>
        <v>9.4711917916185939E-3</v>
      </c>
      <c r="N32" s="42">
        <f t="shared" si="5"/>
        <v>4.0637699281091955E-3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5.1020408163111597E-3</v>
      </c>
      <c r="R32" s="42">
        <f t="shared" si="5"/>
        <v>8.4439083232865642E-3</v>
      </c>
      <c r="S32" s="42">
        <f t="shared" si="5"/>
        <v>1.4733308466986728E-2</v>
      </c>
      <c r="T32" s="42">
        <f t="shared" si="5"/>
        <v>-1.8278018278024888E-2</v>
      </c>
      <c r="U32" s="42">
        <f t="shared" si="5"/>
        <v>2.0855057351425899E-2</v>
      </c>
      <c r="V32" s="42">
        <f t="shared" si="5"/>
        <v>5.9940059939975754E-3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1.7316017316019838E-2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5" t="s">
        <v>8</v>
      </c>
      <c r="C35" s="1036"/>
      <c r="D35" s="1036"/>
      <c r="E35" s="1036"/>
      <c r="F35" s="1036"/>
      <c r="G35" s="1036"/>
      <c r="H35" s="1036"/>
      <c r="I35" s="1036"/>
      <c r="J35" s="1037"/>
      <c r="K35" s="244"/>
      <c r="L35" s="42"/>
      <c r="M35" s="42"/>
      <c r="N35" s="42"/>
      <c r="O35" s="44"/>
      <c r="P35" s="88" t="s">
        <v>18</v>
      </c>
      <c r="Q35" s="1031" t="s">
        <v>8</v>
      </c>
      <c r="R35" s="1032"/>
      <c r="S35" s="1032"/>
      <c r="T35" s="1033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6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ref="J39:J45" si="7">SUM(B39:I39)</f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6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7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6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7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6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7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6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7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6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7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6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7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6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18"/>
      <c r="P55" s="1018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31" t="s">
        <v>63</v>
      </c>
      <c r="C56" s="1032"/>
      <c r="D56" s="1032"/>
      <c r="E56" s="1032"/>
      <c r="F56" s="1032"/>
      <c r="G56" s="1033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34"/>
  <dimension ref="A1:AH243"/>
  <sheetViews>
    <sheetView topLeftCell="A25" zoomScale="30" zoomScaleNormal="30" workbookViewId="0">
      <selection activeCell="B27" sqref="B27:Z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22</v>
      </c>
      <c r="Q11" s="1022"/>
      <c r="R11" s="6"/>
      <c r="S11" s="6"/>
      <c r="T11" s="1"/>
      <c r="U11" s="1"/>
      <c r="V11" s="1" t="s">
        <v>6</v>
      </c>
      <c r="W11" s="95">
        <v>45526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32">
        <v>0</v>
      </c>
      <c r="C14" s="432">
        <v>1</v>
      </c>
      <c r="D14" s="432">
        <v>3</v>
      </c>
      <c r="E14" s="432">
        <v>2</v>
      </c>
      <c r="F14" s="432">
        <v>3</v>
      </c>
      <c r="G14" s="432">
        <v>4</v>
      </c>
      <c r="H14" s="432">
        <v>0</v>
      </c>
      <c r="I14" s="432">
        <v>5</v>
      </c>
      <c r="J14" s="432">
        <v>1</v>
      </c>
      <c r="K14" s="432">
        <v>2</v>
      </c>
      <c r="L14" s="432">
        <v>5</v>
      </c>
      <c r="M14" s="432">
        <v>0</v>
      </c>
      <c r="N14" s="432">
        <v>0</v>
      </c>
      <c r="O14" s="432">
        <v>0</v>
      </c>
      <c r="P14" s="432">
        <v>0</v>
      </c>
      <c r="Q14" s="432">
        <v>5</v>
      </c>
      <c r="R14" s="432">
        <v>1</v>
      </c>
      <c r="S14" s="432">
        <v>2</v>
      </c>
      <c r="T14" s="432">
        <v>1</v>
      </c>
      <c r="U14" s="432">
        <v>1</v>
      </c>
      <c r="V14" s="432">
        <v>2</v>
      </c>
      <c r="W14" s="432">
        <v>0</v>
      </c>
      <c r="X14" s="432">
        <v>0</v>
      </c>
      <c r="Y14" s="432">
        <v>0</v>
      </c>
      <c r="Z14" s="433">
        <f>SUM(B14:Y14)</f>
        <v>38</v>
      </c>
      <c r="AA14" s="431"/>
      <c r="AB14" s="367" t="s">
        <v>111</v>
      </c>
      <c r="AC14" s="1"/>
    </row>
    <row r="15" spans="1:33" s="10" customFormat="1" ht="36" thickBot="1" x14ac:dyDescent="0.3">
      <c r="A15" s="179" t="s">
        <v>7</v>
      </c>
      <c r="B15" s="1044" t="s">
        <v>17</v>
      </c>
      <c r="C15" s="1045"/>
      <c r="D15" s="1045"/>
      <c r="E15" s="1045"/>
      <c r="F15" s="1045"/>
      <c r="G15" s="1045"/>
      <c r="H15" s="1045"/>
      <c r="I15" s="1045"/>
      <c r="J15" s="1045"/>
      <c r="K15" s="1045"/>
      <c r="L15" s="1046" t="s">
        <v>63</v>
      </c>
      <c r="M15" s="1047"/>
      <c r="N15" s="1047"/>
      <c r="O15" s="1047"/>
      <c r="P15" s="1048"/>
      <c r="Q15" s="1047" t="s">
        <v>8</v>
      </c>
      <c r="R15" s="1047"/>
      <c r="S15" s="1047"/>
      <c r="T15" s="1047"/>
      <c r="U15" s="1047"/>
      <c r="V15" s="1047"/>
      <c r="W15" s="1047"/>
      <c r="X15" s="1047"/>
      <c r="Y15" s="1047"/>
      <c r="Z15" s="1047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5" t="s">
        <v>8</v>
      </c>
      <c r="C35" s="1036"/>
      <c r="D35" s="1036"/>
      <c r="E35" s="1036"/>
      <c r="F35" s="1036"/>
      <c r="G35" s="1036"/>
      <c r="H35" s="1036"/>
      <c r="I35" s="1036"/>
      <c r="J35" s="1037"/>
      <c r="K35" s="244"/>
      <c r="L35" s="42"/>
      <c r="M35" s="42"/>
      <c r="N35" s="42"/>
      <c r="O35" s="44"/>
      <c r="P35" s="88" t="s">
        <v>18</v>
      </c>
      <c r="Q35" s="1031" t="s">
        <v>8</v>
      </c>
      <c r="R35" s="1032"/>
      <c r="S35" s="1032"/>
      <c r="T35" s="1033"/>
      <c r="U35" s="45"/>
      <c r="V35" s="45"/>
      <c r="W35" s="45"/>
      <c r="X35" s="308"/>
      <c r="Y35" s="3"/>
      <c r="Z35" s="45"/>
      <c r="AA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7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7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7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7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7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7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7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6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7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18"/>
      <c r="P55" s="1018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31" t="s">
        <v>63</v>
      </c>
      <c r="C56" s="1032"/>
      <c r="D56" s="1032"/>
      <c r="E56" s="1032"/>
      <c r="F56" s="1032"/>
      <c r="G56" s="1033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1">
    <mergeCell ref="A3:C3"/>
    <mergeCell ref="E9:G9"/>
    <mergeCell ref="W9:X9"/>
    <mergeCell ref="P11:Q11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35"/>
  <dimension ref="A1:AH243"/>
  <sheetViews>
    <sheetView topLeftCell="A13" zoomScale="30" zoomScaleNormal="30" workbookViewId="0">
      <selection activeCell="Y24" sqref="B24:Y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22</v>
      </c>
      <c r="Q11" s="1022"/>
      <c r="R11" s="6"/>
      <c r="S11" s="6"/>
      <c r="T11" s="1"/>
      <c r="U11" s="1"/>
      <c r="V11" s="1" t="s">
        <v>6</v>
      </c>
      <c r="W11" s="95">
        <v>45527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7" thickBo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7"/>
      <c r="X14" s="457"/>
      <c r="Y14" s="457"/>
      <c r="Z14" s="459"/>
      <c r="AA14" s="459"/>
      <c r="AB14" s="460"/>
      <c r="AC14" s="1"/>
    </row>
    <row r="15" spans="1:33" s="10" customFormat="1" ht="36" thickBot="1" x14ac:dyDescent="0.3">
      <c r="A15" s="458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1038" t="s">
        <v>63</v>
      </c>
      <c r="M15" s="1028"/>
      <c r="N15" s="1028"/>
      <c r="O15" s="1028"/>
      <c r="P15" s="1029"/>
      <c r="Q15" s="1028" t="s">
        <v>8</v>
      </c>
      <c r="R15" s="1028"/>
      <c r="S15" s="1028"/>
      <c r="T15" s="1028"/>
      <c r="U15" s="1028"/>
      <c r="V15" s="1028"/>
      <c r="W15" s="1028"/>
      <c r="X15" s="1028"/>
      <c r="Y15" s="1028"/>
      <c r="Z15" s="1028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>
        <f>AA24-Z24</f>
        <v>1370.5000000000002</v>
      </c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5" t="s">
        <v>8</v>
      </c>
      <c r="C35" s="1036"/>
      <c r="D35" s="1036"/>
      <c r="E35" s="1036"/>
      <c r="F35" s="1036"/>
      <c r="G35" s="1036"/>
      <c r="H35" s="1036"/>
      <c r="I35" s="1036"/>
      <c r="J35" s="1037"/>
      <c r="K35" s="244"/>
      <c r="L35" s="42"/>
      <c r="M35" s="42"/>
      <c r="N35" s="42"/>
      <c r="O35" s="44"/>
      <c r="P35" s="88" t="s">
        <v>18</v>
      </c>
      <c r="Q35" s="1031" t="s">
        <v>8</v>
      </c>
      <c r="R35" s="1032"/>
      <c r="S35" s="1032"/>
      <c r="T35" s="1032"/>
      <c r="U35" s="1033"/>
      <c r="V35" s="45"/>
      <c r="W35" s="45"/>
      <c r="X35" s="45"/>
      <c r="Y35" s="308"/>
      <c r="Z35" s="3"/>
      <c r="AA35" s="45"/>
      <c r="AB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452"/>
      <c r="U36" s="261" t="s">
        <v>9</v>
      </c>
      <c r="V36" s="47"/>
      <c r="W36" s="47"/>
      <c r="X36" s="47"/>
      <c r="Y36" s="46"/>
      <c r="Z36" s="46"/>
      <c r="AA36" s="3"/>
      <c r="AB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69</v>
      </c>
      <c r="U37" s="304"/>
      <c r="V37" s="47"/>
      <c r="W37" s="47"/>
      <c r="X37" s="47"/>
      <c r="Y37" s="3"/>
      <c r="Z37" s="48"/>
      <c r="AA37" s="2"/>
      <c r="AB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124">
        <v>14.1</v>
      </c>
      <c r="R38" s="125">
        <v>22.4</v>
      </c>
      <c r="S38" s="125">
        <v>15.7</v>
      </c>
      <c r="T38" s="141"/>
      <c r="U38" s="98">
        <f>SUM(Q38:S38)</f>
        <v>52.2</v>
      </c>
      <c r="V38" s="49"/>
      <c r="W38" s="2"/>
      <c r="X38" s="49"/>
      <c r="Y38" s="48"/>
      <c r="Z38" s="48"/>
      <c r="AA38" s="2"/>
      <c r="AB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19">
        <v>15.7</v>
      </c>
      <c r="T39" s="20"/>
      <c r="U39" s="98">
        <f>SUM(Q39:S39)</f>
        <v>52.2</v>
      </c>
      <c r="V39" s="49"/>
      <c r="W39" s="2"/>
      <c r="X39" s="49"/>
      <c r="Y39" s="48"/>
      <c r="Z39" s="48"/>
      <c r="AA39" s="2"/>
      <c r="AB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8.9</v>
      </c>
      <c r="R40" s="19">
        <v>17.2</v>
      </c>
      <c r="S40" s="19">
        <v>15</v>
      </c>
      <c r="T40" s="20">
        <v>13</v>
      </c>
      <c r="U40" s="98">
        <f>SUM(Q40:T40)</f>
        <v>54.1</v>
      </c>
      <c r="V40" s="49"/>
      <c r="W40" s="2"/>
      <c r="X40" s="49"/>
      <c r="Y40" s="48"/>
      <c r="Z40" s="48"/>
      <c r="AA40" s="2"/>
      <c r="AB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8.4</v>
      </c>
      <c r="R41" s="19">
        <v>17.3</v>
      </c>
      <c r="S41" s="19">
        <v>15.2</v>
      </c>
      <c r="T41" s="20">
        <v>12.9</v>
      </c>
      <c r="U41" s="98">
        <f>SUM(Q41:T41)</f>
        <v>53.800000000000004</v>
      </c>
      <c r="V41" s="49"/>
      <c r="W41" s="2"/>
      <c r="X41" s="49"/>
      <c r="Y41" s="48"/>
      <c r="Z41" s="48"/>
      <c r="AA41" s="2"/>
      <c r="AB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8.5</v>
      </c>
      <c r="R42" s="19">
        <v>17.3</v>
      </c>
      <c r="S42" s="19">
        <v>15.2</v>
      </c>
      <c r="T42" s="20">
        <v>12.9</v>
      </c>
      <c r="U42" s="98">
        <f>SUM(Q42:T42)</f>
        <v>53.9</v>
      </c>
      <c r="V42" s="49"/>
      <c r="W42" s="2"/>
      <c r="X42" s="49"/>
      <c r="Y42" s="48"/>
      <c r="Z42" s="48"/>
      <c r="AA42" s="2"/>
      <c r="AB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8.5</v>
      </c>
      <c r="R43" s="19">
        <v>17.3</v>
      </c>
      <c r="S43" s="19">
        <v>15.2</v>
      </c>
      <c r="T43" s="20">
        <v>12.9</v>
      </c>
      <c r="U43" s="98">
        <f>SUM(Q43:T43)</f>
        <v>53.9</v>
      </c>
      <c r="V43" s="49"/>
      <c r="W43" s="2"/>
      <c r="X43" s="49"/>
      <c r="Y43" s="48"/>
      <c r="Z43" s="48"/>
      <c r="AA43" s="2"/>
      <c r="AB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66">
        <v>8.5</v>
      </c>
      <c r="R44" s="267">
        <v>17.399999999999999</v>
      </c>
      <c r="S44" s="267">
        <v>15.2</v>
      </c>
      <c r="T44" s="123">
        <v>12.9</v>
      </c>
      <c r="U44" s="330">
        <f>SUM(Q44:T44)</f>
        <v>53.999999999999993</v>
      </c>
      <c r="V44" s="49">
        <f>U44-T44</f>
        <v>41.099999999999994</v>
      </c>
      <c r="W44" s="2"/>
      <c r="X44" s="49"/>
      <c r="Y44" s="48"/>
      <c r="Z44" s="48"/>
      <c r="AA44" s="48"/>
      <c r="AB44" s="48"/>
      <c r="AC44" s="2"/>
      <c r="AD44" s="2"/>
    </row>
    <row r="45" spans="1:33" ht="33.75" customHeight="1" x14ac:dyDescent="0.25">
      <c r="A45" s="145" t="s">
        <v>9</v>
      </c>
      <c r="B45" s="122">
        <f t="shared" ref="B45:I45" si="7">SUM(B38:B44)</f>
        <v>344.00000000000006</v>
      </c>
      <c r="C45" s="120">
        <f t="shared" si="7"/>
        <v>387.9</v>
      </c>
      <c r="D45" s="120">
        <f t="shared" si="7"/>
        <v>327.59999999999997</v>
      </c>
      <c r="E45" s="120">
        <f t="shared" si="7"/>
        <v>271.59999999999997</v>
      </c>
      <c r="F45" s="120">
        <f t="shared" si="7"/>
        <v>150.60000000000002</v>
      </c>
      <c r="G45" s="120">
        <f t="shared" si="7"/>
        <v>316.09999999999997</v>
      </c>
      <c r="H45" s="120">
        <f t="shared" si="7"/>
        <v>652.09999999999991</v>
      </c>
      <c r="I45" s="121">
        <f t="shared" si="7"/>
        <v>333.3</v>
      </c>
      <c r="J45" s="275">
        <f t="shared" si="6"/>
        <v>2783.2</v>
      </c>
      <c r="K45" s="49"/>
      <c r="L45" s="42"/>
      <c r="M45" s="42"/>
      <c r="N45" s="42"/>
      <c r="P45" s="145" t="s">
        <v>9</v>
      </c>
      <c r="Q45" s="122">
        <f>SUM(Q38:Q44)</f>
        <v>71</v>
      </c>
      <c r="R45" s="120">
        <f>SUM(R38:R44)</f>
        <v>131.29999999999998</v>
      </c>
      <c r="S45" s="120">
        <f>SUM(S38:S44)</f>
        <v>107.2</v>
      </c>
      <c r="T45" s="120">
        <f>SUM(T38:T44)</f>
        <v>64.599999999999994</v>
      </c>
      <c r="U45" s="361">
        <f>SUM(Q45:S45)</f>
        <v>309.5</v>
      </c>
      <c r="V45" s="49"/>
      <c r="W45" s="49"/>
      <c r="X45" s="49"/>
      <c r="Y45" s="48"/>
      <c r="Z45" s="2"/>
      <c r="AA45" s="2"/>
      <c r="AB45" s="2"/>
      <c r="AC45" s="2"/>
      <c r="AD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453" t="s">
        <v>11</v>
      </c>
      <c r="Q46" s="23">
        <v>124</v>
      </c>
      <c r="R46" s="24">
        <v>123</v>
      </c>
      <c r="S46" s="24">
        <v>122.5</v>
      </c>
      <c r="T46" s="24">
        <v>122.5</v>
      </c>
      <c r="U46" s="128">
        <f>+((U45/U47)/7)*1000</f>
        <v>102.34788359788361</v>
      </c>
      <c r="V46" s="50"/>
      <c r="W46" s="50"/>
      <c r="X46" s="50"/>
      <c r="Y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149" t="s">
        <v>12</v>
      </c>
      <c r="Q47" s="241">
        <v>67</v>
      </c>
      <c r="R47" s="278">
        <v>139</v>
      </c>
      <c r="S47" s="278">
        <v>122</v>
      </c>
      <c r="T47" s="278">
        <v>104</v>
      </c>
      <c r="U47" s="276">
        <f>SUM(Q47:T47)</f>
        <v>432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8">((((C46*7)*C47)/1000)-(C38+C39))/5</f>
        <v>55.9452</v>
      </c>
      <c r="D48" s="31">
        <f t="shared" si="8"/>
        <v>47.36</v>
      </c>
      <c r="E48" s="31">
        <f t="shared" si="8"/>
        <v>39.151599999999995</v>
      </c>
      <c r="F48" s="31">
        <f t="shared" si="8"/>
        <v>21.753999999999998</v>
      </c>
      <c r="G48" s="31">
        <f t="shared" si="8"/>
        <v>45.626800000000003</v>
      </c>
      <c r="H48" s="31">
        <f t="shared" si="8"/>
        <v>94.289999999999992</v>
      </c>
      <c r="I48" s="32">
        <f t="shared" si="8"/>
        <v>48.214700000000008</v>
      </c>
      <c r="J48" s="130">
        <f>((J45*1000)/J47)/7</f>
        <v>115.38015089959374</v>
      </c>
      <c r="K48" s="54"/>
      <c r="L48" s="54"/>
      <c r="M48" s="41"/>
      <c r="N48" s="49"/>
      <c r="P48" s="150" t="s">
        <v>13</v>
      </c>
      <c r="Q48" s="30">
        <f>((((Q46*7)*Q47)/1000)-(Q38+Q39))/5</f>
        <v>5.9912000000000001</v>
      </c>
      <c r="R48" s="31">
        <f>((((R46*7)*R47)/1000)-(R38+R39))/5</f>
        <v>14.975800000000001</v>
      </c>
      <c r="S48" s="31">
        <f>((((S46*7)*S47)/1000)-(S38+S39))/5</f>
        <v>14.643000000000001</v>
      </c>
      <c r="T48" s="31">
        <f>((((T46*7)*T47)/1000)-(T38+T39))/5</f>
        <v>17.836000000000002</v>
      </c>
      <c r="U48" s="454">
        <f>((U45*1000)/U47)/7</f>
        <v>102.34788359788361</v>
      </c>
      <c r="V48" s="192"/>
      <c r="W48" s="52"/>
      <c r="X48" s="52"/>
    </row>
    <row r="49" spans="1:33" ht="33.75" customHeight="1" x14ac:dyDescent="0.25">
      <c r="A49" s="151" t="s">
        <v>14</v>
      </c>
      <c r="B49" s="281">
        <f t="shared" ref="B49:I49" si="9">((B47*B46)*7)/1000</f>
        <v>344.01850000000002</v>
      </c>
      <c r="C49" s="282">
        <f t="shared" si="9"/>
        <v>387.92599999999999</v>
      </c>
      <c r="D49" s="282">
        <f t="shared" si="9"/>
        <v>327.60000000000002</v>
      </c>
      <c r="E49" s="282">
        <f t="shared" si="9"/>
        <v>271.55799999999999</v>
      </c>
      <c r="F49" s="282">
        <f t="shared" si="9"/>
        <v>150.57</v>
      </c>
      <c r="G49" s="282">
        <f t="shared" si="9"/>
        <v>316.13400000000001</v>
      </c>
      <c r="H49" s="282">
        <f t="shared" si="9"/>
        <v>652.04999999999995</v>
      </c>
      <c r="I49" s="284">
        <f t="shared" si="9"/>
        <v>333.27350000000001</v>
      </c>
      <c r="J49" s="108"/>
      <c r="K49" s="56"/>
      <c r="L49" s="56"/>
      <c r="M49" s="41"/>
      <c r="N49" s="49"/>
      <c r="P49" s="151" t="s">
        <v>14</v>
      </c>
      <c r="Q49" s="281">
        <f>((Q47*Q46)*7)/1000</f>
        <v>58.155999999999999</v>
      </c>
      <c r="R49" s="282">
        <f>((R47*R46)*7)/1000</f>
        <v>119.679</v>
      </c>
      <c r="S49" s="282">
        <f>((S47*S46)*7)/1000</f>
        <v>104.61499999999999</v>
      </c>
      <c r="T49" s="282">
        <f>((T47*T46)*7)/1000</f>
        <v>89.18</v>
      </c>
      <c r="U49" s="36"/>
    </row>
    <row r="50" spans="1:33" ht="33.75" customHeight="1" thickBot="1" x14ac:dyDescent="0.3">
      <c r="A50" s="152" t="s">
        <v>15</v>
      </c>
      <c r="B50" s="37">
        <f t="shared" ref="B50:I50" si="10">+(B45/B47)/7*1000</f>
        <v>113.49389640382714</v>
      </c>
      <c r="C50" s="38">
        <f t="shared" si="10"/>
        <v>114.49232585596222</v>
      </c>
      <c r="D50" s="38">
        <f t="shared" si="10"/>
        <v>117</v>
      </c>
      <c r="E50" s="38">
        <f t="shared" si="10"/>
        <v>119.01840490797544</v>
      </c>
      <c r="F50" s="38">
        <f t="shared" si="10"/>
        <v>119.52380952380955</v>
      </c>
      <c r="G50" s="38">
        <f t="shared" si="10"/>
        <v>116.98741672834934</v>
      </c>
      <c r="H50" s="38">
        <f t="shared" si="10"/>
        <v>115.00881834215167</v>
      </c>
      <c r="I50" s="39">
        <f t="shared" si="10"/>
        <v>111.50886584141853</v>
      </c>
      <c r="J50" s="131"/>
      <c r="K50" s="45"/>
      <c r="L50" s="45"/>
      <c r="M50" s="54"/>
      <c r="N50" s="49"/>
      <c r="O50" s="41"/>
      <c r="P50" s="152" t="s">
        <v>15</v>
      </c>
      <c r="Q50" s="37">
        <f>+(Q45/Q47)/7*1000</f>
        <v>151.38592750533047</v>
      </c>
      <c r="R50" s="38">
        <f>+(R45/R47)/7*1000</f>
        <v>134.94347379239463</v>
      </c>
      <c r="S50" s="38">
        <f>+(S45/S47)/7*1000</f>
        <v>125.52693208430915</v>
      </c>
      <c r="T50" s="38">
        <f>+(T45/T47)/7*1000</f>
        <v>88.736263736263723</v>
      </c>
      <c r="U50" s="324"/>
      <c r="V50" s="42"/>
      <c r="W50" s="42"/>
      <c r="X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1">C49-C45</f>
        <v>2.6000000000010459E-2</v>
      </c>
      <c r="D51" s="42">
        <f t="shared" si="11"/>
        <v>0</v>
      </c>
      <c r="E51" s="42">
        <f t="shared" si="11"/>
        <v>-4.199999999997317E-2</v>
      </c>
      <c r="F51" s="42">
        <f t="shared" si="11"/>
        <v>-3.0000000000029559E-2</v>
      </c>
      <c r="G51" s="42">
        <f t="shared" si="11"/>
        <v>3.4000000000048658E-2</v>
      </c>
      <c r="H51" s="42">
        <f t="shared" si="11"/>
        <v>-4.9999999999954525E-2</v>
      </c>
      <c r="I51" s="42">
        <f t="shared" si="11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T52" si="12">Q49-Q45</f>
        <v>-12.844000000000001</v>
      </c>
      <c r="R51" s="42">
        <f t="shared" si="12"/>
        <v>-11.620999999999981</v>
      </c>
      <c r="S51" s="42">
        <f t="shared" si="12"/>
        <v>-2.585000000000008</v>
      </c>
      <c r="T51" s="42">
        <f t="shared" si="12"/>
        <v>24.580000000000013</v>
      </c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1"/>
        <v>-7.674144037778774E-3</v>
      </c>
      <c r="D52" s="42">
        <f t="shared" si="11"/>
        <v>0</v>
      </c>
      <c r="E52" s="42">
        <f t="shared" si="11"/>
        <v>1.8404907975437368E-2</v>
      </c>
      <c r="F52" s="42">
        <f t="shared" si="11"/>
        <v>2.3809523809546818E-2</v>
      </c>
      <c r="G52" s="42">
        <f t="shared" si="11"/>
        <v>-1.2583271650655092E-2</v>
      </c>
      <c r="H52" s="42">
        <f t="shared" si="11"/>
        <v>8.818342151670322E-3</v>
      </c>
      <c r="I52" s="42">
        <f t="shared" si="11"/>
        <v>8.8658414185260881E-3</v>
      </c>
      <c r="K52" s="2"/>
      <c r="L52" s="2"/>
      <c r="M52" s="45"/>
      <c r="N52" s="41"/>
      <c r="O52" s="42"/>
      <c r="P52" s="42"/>
      <c r="Q52" s="42">
        <f t="shared" si="12"/>
        <v>27.385927505330471</v>
      </c>
      <c r="R52" s="42">
        <f t="shared" si="12"/>
        <v>11.943473792394627</v>
      </c>
      <c r="S52" s="42">
        <f t="shared" si="12"/>
        <v>3.0269320843091521</v>
      </c>
      <c r="T52" s="42">
        <f t="shared" si="12"/>
        <v>-33.763736263736277</v>
      </c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18"/>
      <c r="P55" s="1018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31" t="s">
        <v>63</v>
      </c>
      <c r="C56" s="1032"/>
      <c r="D56" s="1032"/>
      <c r="E56" s="1032"/>
      <c r="F56" s="1032"/>
      <c r="G56" s="1033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 t="s">
        <v>69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455">
        <v>51.1</v>
      </c>
      <c r="G59" s="264">
        <f t="shared" ref="G59:G65" si="13">SUM(B59:F59)</f>
        <v>188.1</v>
      </c>
      <c r="H59" s="1049" t="s">
        <v>112</v>
      </c>
      <c r="I59" s="1050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456">
        <v>51.1</v>
      </c>
      <c r="G60" s="264">
        <f t="shared" si="13"/>
        <v>188.1</v>
      </c>
      <c r="H60" s="1049"/>
      <c r="I60" s="1050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31.1</v>
      </c>
      <c r="C61" s="61">
        <v>45.7</v>
      </c>
      <c r="D61" s="61">
        <v>31.3</v>
      </c>
      <c r="E61" s="61">
        <v>34.799999999999997</v>
      </c>
      <c r="F61" s="61">
        <v>53.6</v>
      </c>
      <c r="G61" s="264">
        <f t="shared" si="13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30.8</v>
      </c>
      <c r="C62" s="61">
        <v>45.7</v>
      </c>
      <c r="D62" s="61">
        <v>31.4</v>
      </c>
      <c r="E62" s="61">
        <v>35.1</v>
      </c>
      <c r="F62" s="61">
        <v>53.6</v>
      </c>
      <c r="G62" s="264">
        <f t="shared" si="13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30.9</v>
      </c>
      <c r="C63" s="61">
        <v>45.7</v>
      </c>
      <c r="D63" s="61">
        <v>31.5</v>
      </c>
      <c r="E63" s="61">
        <v>35.1</v>
      </c>
      <c r="F63" s="61">
        <v>53.6</v>
      </c>
      <c r="G63" s="264">
        <f t="shared" si="13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30.9</v>
      </c>
      <c r="C64" s="61">
        <v>45.7</v>
      </c>
      <c r="D64" s="61">
        <v>31.5</v>
      </c>
      <c r="E64" s="61">
        <v>35.1</v>
      </c>
      <c r="F64" s="61">
        <v>53.6</v>
      </c>
      <c r="G64" s="264">
        <f t="shared" si="13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/>
      <c r="C65" s="61"/>
      <c r="D65" s="61"/>
      <c r="E65" s="61"/>
      <c r="F65" s="61"/>
      <c r="G65" s="265">
        <f t="shared" si="13"/>
        <v>0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4">SUM(B59:B65)</f>
        <v>165.9</v>
      </c>
      <c r="C66" s="120">
        <f t="shared" si="14"/>
        <v>248.39999999999998</v>
      </c>
      <c r="D66" s="120">
        <f t="shared" si="14"/>
        <v>209.9</v>
      </c>
      <c r="E66" s="120">
        <f t="shared" si="14"/>
        <v>222.1</v>
      </c>
      <c r="F66" s="120">
        <f t="shared" si="14"/>
        <v>316.60000000000002</v>
      </c>
      <c r="G66" s="326">
        <f t="shared" si="14"/>
        <v>1162.9000000000001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109.36706479826955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238</v>
      </c>
      <c r="C68" s="278">
        <v>353</v>
      </c>
      <c r="D68" s="278">
        <v>243</v>
      </c>
      <c r="E68" s="278">
        <v>271</v>
      </c>
      <c r="F68" s="278">
        <v>414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34.209600000000002</v>
      </c>
      <c r="C69" s="30">
        <f>((((C67*7)*C68)/1000)-(C59+C60))/5</f>
        <v>50.137600000000006</v>
      </c>
      <c r="D69" s="30">
        <f>((((D67*7)*D68)/1000)-(D59+D60))/5</f>
        <v>26.705600000000004</v>
      </c>
      <c r="E69" s="30">
        <f>((((E67*7)*E68)/1000)-(E59+E60))/5</f>
        <v>31.973500000000001</v>
      </c>
      <c r="F69" s="30">
        <f>((((F67*7)*F68)/1000)-(F59+F60))/5</f>
        <v>53.748800000000003</v>
      </c>
      <c r="G69" s="257">
        <f>((G66*1000)/G68)/7</f>
        <v>109.36706479826954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213.24799999999999</v>
      </c>
      <c r="C70" s="282">
        <f>((C68*C67)*7)/1000</f>
        <v>316.28800000000001</v>
      </c>
      <c r="D70" s="282">
        <f>((D68*D67)*7)/1000</f>
        <v>217.72800000000001</v>
      </c>
      <c r="E70" s="282">
        <f>((E68*E67)*7)/1000</f>
        <v>241.86750000000001</v>
      </c>
      <c r="F70" s="282">
        <f>((F68*F67)*7)/1000</f>
        <v>370.94400000000002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99.579831932773118</v>
      </c>
      <c r="C71" s="38">
        <f>+(C66/C68)/7*1000</f>
        <v>100.52610279239173</v>
      </c>
      <c r="D71" s="38">
        <f>+(D66/D68)/7*1000</f>
        <v>123.39800117577896</v>
      </c>
      <c r="E71" s="38">
        <f>+(E66/E68)/7*1000</f>
        <v>117.07959936742225</v>
      </c>
      <c r="F71" s="38">
        <f>+(F66/F68)/7*1000</f>
        <v>109.24775707384404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47.347999999999985</v>
      </c>
      <c r="C72" s="42">
        <f t="shared" ref="C72:F73" si="15">C70-C66</f>
        <v>67.888000000000034</v>
      </c>
      <c r="D72" s="42">
        <f t="shared" si="15"/>
        <v>7.828000000000003</v>
      </c>
      <c r="E72" s="42">
        <f t="shared" si="15"/>
        <v>19.767500000000013</v>
      </c>
      <c r="F72" s="42">
        <f t="shared" si="15"/>
        <v>54.343999999999994</v>
      </c>
      <c r="K72" s="45"/>
      <c r="L72" s="45"/>
      <c r="M72" s="45"/>
    </row>
    <row r="73" spans="1:30" ht="33.75" customHeight="1" x14ac:dyDescent="0.25">
      <c r="B73" s="42">
        <f>B71-B67</f>
        <v>-28.420168067226882</v>
      </c>
      <c r="C73" s="42">
        <f t="shared" si="15"/>
        <v>-27.473897207608275</v>
      </c>
      <c r="D73" s="42">
        <f t="shared" si="15"/>
        <v>-4.6019988242210417</v>
      </c>
      <c r="E73" s="42">
        <f t="shared" si="15"/>
        <v>-10.420400632577753</v>
      </c>
      <c r="F73" s="42">
        <f t="shared" si="15"/>
        <v>-18.752242926155958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2">
    <mergeCell ref="W9:X9"/>
    <mergeCell ref="P11:Q11"/>
    <mergeCell ref="B15:K15"/>
    <mergeCell ref="L15:P15"/>
    <mergeCell ref="Q15:Z15"/>
    <mergeCell ref="B35:J35"/>
    <mergeCell ref="O55:P55"/>
    <mergeCell ref="Q35:U35"/>
    <mergeCell ref="H59:I60"/>
    <mergeCell ref="A3:C3"/>
    <mergeCell ref="E9:G9"/>
    <mergeCell ref="B56:G56"/>
  </mergeCell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36"/>
  <dimension ref="A1:AE244"/>
  <sheetViews>
    <sheetView topLeftCell="A7" zoomScale="30" zoomScaleNormal="30" workbookViewId="0">
      <selection activeCell="J40" sqref="J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0.85546875" style="14"/>
    <col min="33" max="33" width="14.85546875" style="14" bestFit="1" customWidth="1"/>
    <col min="34" max="258" width="10.8554687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0.85546875" style="14"/>
    <col min="289" max="289" width="14.85546875" style="14" bestFit="1" customWidth="1"/>
    <col min="290" max="514" width="10.8554687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0.85546875" style="14"/>
    <col min="545" max="545" width="14.85546875" style="14" bestFit="1" customWidth="1"/>
    <col min="546" max="770" width="10.8554687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0.85546875" style="14"/>
    <col min="801" max="801" width="14.85546875" style="14" bestFit="1" customWidth="1"/>
    <col min="802" max="1026" width="10.8554687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0.85546875" style="14"/>
    <col min="1057" max="1057" width="14.85546875" style="14" bestFit="1" customWidth="1"/>
    <col min="1058" max="1282" width="10.8554687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0.85546875" style="14"/>
    <col min="1313" max="1313" width="14.85546875" style="14" bestFit="1" customWidth="1"/>
    <col min="1314" max="1538" width="10.8554687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0.85546875" style="14"/>
    <col min="1569" max="1569" width="14.85546875" style="14" bestFit="1" customWidth="1"/>
    <col min="1570" max="1794" width="10.8554687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0.85546875" style="14"/>
    <col min="1825" max="1825" width="14.85546875" style="14" bestFit="1" customWidth="1"/>
    <col min="1826" max="2050" width="10.8554687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0.85546875" style="14"/>
    <col min="2081" max="2081" width="14.85546875" style="14" bestFit="1" customWidth="1"/>
    <col min="2082" max="2306" width="10.8554687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0.85546875" style="14"/>
    <col min="2337" max="2337" width="14.85546875" style="14" bestFit="1" customWidth="1"/>
    <col min="2338" max="2562" width="10.8554687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0.85546875" style="14"/>
    <col min="2593" max="2593" width="14.85546875" style="14" bestFit="1" customWidth="1"/>
    <col min="2594" max="2818" width="10.8554687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0.85546875" style="14"/>
    <col min="2849" max="2849" width="14.85546875" style="14" bestFit="1" customWidth="1"/>
    <col min="2850" max="3074" width="10.8554687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0.85546875" style="14"/>
    <col min="3105" max="3105" width="14.85546875" style="14" bestFit="1" customWidth="1"/>
    <col min="3106" max="3330" width="10.8554687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0.85546875" style="14"/>
    <col min="3361" max="3361" width="14.85546875" style="14" bestFit="1" customWidth="1"/>
    <col min="3362" max="3586" width="10.8554687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0.85546875" style="14"/>
    <col min="3617" max="3617" width="14.85546875" style="14" bestFit="1" customWidth="1"/>
    <col min="3618" max="3842" width="10.8554687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0.85546875" style="14"/>
    <col min="3873" max="3873" width="14.85546875" style="14" bestFit="1" customWidth="1"/>
    <col min="3874" max="4098" width="10.8554687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0.85546875" style="14"/>
    <col min="4129" max="4129" width="14.85546875" style="14" bestFit="1" customWidth="1"/>
    <col min="4130" max="4354" width="10.8554687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0.85546875" style="14"/>
    <col min="4385" max="4385" width="14.85546875" style="14" bestFit="1" customWidth="1"/>
    <col min="4386" max="4610" width="10.8554687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0.85546875" style="14"/>
    <col min="4641" max="4641" width="14.85546875" style="14" bestFit="1" customWidth="1"/>
    <col min="4642" max="4866" width="10.8554687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0.85546875" style="14"/>
    <col min="4897" max="4897" width="14.85546875" style="14" bestFit="1" customWidth="1"/>
    <col min="4898" max="5122" width="10.8554687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0.85546875" style="14"/>
    <col min="5153" max="5153" width="14.85546875" style="14" bestFit="1" customWidth="1"/>
    <col min="5154" max="5378" width="10.8554687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0.85546875" style="14"/>
    <col min="5409" max="5409" width="14.85546875" style="14" bestFit="1" customWidth="1"/>
    <col min="5410" max="5634" width="10.8554687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0.85546875" style="14"/>
    <col min="5665" max="5665" width="14.85546875" style="14" bestFit="1" customWidth="1"/>
    <col min="5666" max="5890" width="10.8554687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0.85546875" style="14"/>
    <col min="5921" max="5921" width="14.85546875" style="14" bestFit="1" customWidth="1"/>
    <col min="5922" max="6146" width="10.8554687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0.85546875" style="14"/>
    <col min="6177" max="6177" width="14.85546875" style="14" bestFit="1" customWidth="1"/>
    <col min="6178" max="6402" width="10.8554687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0.85546875" style="14"/>
    <col min="6433" max="6433" width="14.85546875" style="14" bestFit="1" customWidth="1"/>
    <col min="6434" max="6658" width="10.8554687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0.85546875" style="14"/>
    <col min="6689" max="6689" width="14.85546875" style="14" bestFit="1" customWidth="1"/>
    <col min="6690" max="6914" width="10.8554687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0.85546875" style="14"/>
    <col min="6945" max="6945" width="14.85546875" style="14" bestFit="1" customWidth="1"/>
    <col min="6946" max="7170" width="10.8554687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0.85546875" style="14"/>
    <col min="7201" max="7201" width="14.85546875" style="14" bestFit="1" customWidth="1"/>
    <col min="7202" max="7426" width="10.8554687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0.85546875" style="14"/>
    <col min="7457" max="7457" width="14.85546875" style="14" bestFit="1" customWidth="1"/>
    <col min="7458" max="7682" width="10.8554687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0.85546875" style="14"/>
    <col min="7713" max="7713" width="14.85546875" style="14" bestFit="1" customWidth="1"/>
    <col min="7714" max="7938" width="10.8554687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0.85546875" style="14"/>
    <col min="7969" max="7969" width="14.85546875" style="14" bestFit="1" customWidth="1"/>
    <col min="7970" max="8194" width="10.8554687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0.85546875" style="14"/>
    <col min="8225" max="8225" width="14.85546875" style="14" bestFit="1" customWidth="1"/>
    <col min="8226" max="8450" width="10.8554687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0.85546875" style="14"/>
    <col min="8481" max="8481" width="14.85546875" style="14" bestFit="1" customWidth="1"/>
    <col min="8482" max="8706" width="10.8554687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0.85546875" style="14"/>
    <col min="8737" max="8737" width="14.85546875" style="14" bestFit="1" customWidth="1"/>
    <col min="8738" max="8962" width="10.8554687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0.85546875" style="14"/>
    <col min="8993" max="8993" width="14.85546875" style="14" bestFit="1" customWidth="1"/>
    <col min="8994" max="9218" width="10.8554687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0.85546875" style="14"/>
    <col min="9249" max="9249" width="14.85546875" style="14" bestFit="1" customWidth="1"/>
    <col min="9250" max="9474" width="10.8554687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0.85546875" style="14"/>
    <col min="9505" max="9505" width="14.85546875" style="14" bestFit="1" customWidth="1"/>
    <col min="9506" max="9730" width="10.8554687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0.85546875" style="14"/>
    <col min="9761" max="9761" width="14.85546875" style="14" bestFit="1" customWidth="1"/>
    <col min="9762" max="9986" width="10.8554687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0.85546875" style="14"/>
    <col min="10017" max="10017" width="14.85546875" style="14" bestFit="1" customWidth="1"/>
    <col min="10018" max="10242" width="10.8554687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0.85546875" style="14"/>
    <col min="10273" max="10273" width="14.85546875" style="14" bestFit="1" customWidth="1"/>
    <col min="10274" max="10498" width="10.8554687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0.85546875" style="14"/>
    <col min="10529" max="10529" width="14.85546875" style="14" bestFit="1" customWidth="1"/>
    <col min="10530" max="10754" width="10.8554687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0.85546875" style="14"/>
    <col min="10785" max="10785" width="14.85546875" style="14" bestFit="1" customWidth="1"/>
    <col min="10786" max="11010" width="10.8554687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0.85546875" style="14"/>
    <col min="11041" max="11041" width="14.85546875" style="14" bestFit="1" customWidth="1"/>
    <col min="11042" max="11266" width="10.8554687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0.85546875" style="14"/>
    <col min="11297" max="11297" width="14.85546875" style="14" bestFit="1" customWidth="1"/>
    <col min="11298" max="11522" width="10.8554687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0.85546875" style="14"/>
    <col min="11553" max="11553" width="14.85546875" style="14" bestFit="1" customWidth="1"/>
    <col min="11554" max="11778" width="10.8554687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0.85546875" style="14"/>
    <col min="11809" max="11809" width="14.85546875" style="14" bestFit="1" customWidth="1"/>
    <col min="11810" max="12034" width="10.8554687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0.85546875" style="14"/>
    <col min="12065" max="12065" width="14.85546875" style="14" bestFit="1" customWidth="1"/>
    <col min="12066" max="12290" width="10.8554687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0.85546875" style="14"/>
    <col min="12321" max="12321" width="14.85546875" style="14" bestFit="1" customWidth="1"/>
    <col min="12322" max="12546" width="10.8554687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0.85546875" style="14"/>
    <col min="12577" max="12577" width="14.85546875" style="14" bestFit="1" customWidth="1"/>
    <col min="12578" max="12802" width="10.8554687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0.85546875" style="14"/>
    <col min="12833" max="12833" width="14.85546875" style="14" bestFit="1" customWidth="1"/>
    <col min="12834" max="13058" width="10.8554687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0.85546875" style="14"/>
    <col min="13089" max="13089" width="14.85546875" style="14" bestFit="1" customWidth="1"/>
    <col min="13090" max="13314" width="10.8554687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0.85546875" style="14"/>
    <col min="13345" max="13345" width="14.85546875" style="14" bestFit="1" customWidth="1"/>
    <col min="13346" max="13570" width="10.8554687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0.85546875" style="14"/>
    <col min="13601" max="13601" width="14.85546875" style="14" bestFit="1" customWidth="1"/>
    <col min="13602" max="13826" width="10.8554687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0.85546875" style="14"/>
    <col min="13857" max="13857" width="14.85546875" style="14" bestFit="1" customWidth="1"/>
    <col min="13858" max="14082" width="10.8554687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0.85546875" style="14"/>
    <col min="14113" max="14113" width="14.85546875" style="14" bestFit="1" customWidth="1"/>
    <col min="14114" max="14338" width="10.8554687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0.85546875" style="14"/>
    <col min="14369" max="14369" width="14.85546875" style="14" bestFit="1" customWidth="1"/>
    <col min="14370" max="14594" width="10.8554687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0.85546875" style="14"/>
    <col min="14625" max="14625" width="14.85546875" style="14" bestFit="1" customWidth="1"/>
    <col min="14626" max="14850" width="10.8554687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0.85546875" style="14"/>
    <col min="14881" max="14881" width="14.85546875" style="14" bestFit="1" customWidth="1"/>
    <col min="14882" max="15106" width="10.8554687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0.85546875" style="14"/>
    <col min="15137" max="15137" width="14.85546875" style="14" bestFit="1" customWidth="1"/>
    <col min="15138" max="15362" width="10.8554687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0.85546875" style="14"/>
    <col min="15393" max="15393" width="14.85546875" style="14" bestFit="1" customWidth="1"/>
    <col min="15394" max="15618" width="10.8554687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0.85546875" style="14"/>
    <col min="15649" max="15649" width="14.85546875" style="14" bestFit="1" customWidth="1"/>
    <col min="15650" max="15874" width="10.8554687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0.85546875" style="14"/>
    <col min="15905" max="15905" width="14.85546875" style="14" bestFit="1" customWidth="1"/>
    <col min="15906" max="16130" width="10.8554687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0.85546875" style="14"/>
    <col min="16161" max="16161" width="14.85546875" style="14" bestFit="1" customWidth="1"/>
    <col min="16162" max="16384" width="10.8554687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23</v>
      </c>
      <c r="Q11" s="1022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73.8</v>
      </c>
      <c r="E20" s="19">
        <v>23.5</v>
      </c>
      <c r="F20" s="19">
        <v>72.3</v>
      </c>
      <c r="G20" s="19">
        <v>72.7</v>
      </c>
      <c r="H20" s="20">
        <v>71.099999999999994</v>
      </c>
      <c r="I20" s="61">
        <v>76.2</v>
      </c>
      <c r="J20" s="19">
        <v>77.400000000000006</v>
      </c>
      <c r="K20" s="19">
        <v>75.900000000000006</v>
      </c>
      <c r="L20" s="19">
        <v>23</v>
      </c>
      <c r="M20" s="19">
        <v>74.5</v>
      </c>
      <c r="N20" s="19">
        <v>73</v>
      </c>
      <c r="O20" s="283">
        <v>72.5</v>
      </c>
      <c r="P20" s="281">
        <v>77.400000000000006</v>
      </c>
      <c r="Q20" s="282">
        <v>78.599999999999994</v>
      </c>
      <c r="R20" s="282">
        <v>79.5</v>
      </c>
      <c r="S20" s="282">
        <v>24.2</v>
      </c>
      <c r="T20" s="282">
        <v>75.400000000000006</v>
      </c>
      <c r="U20" s="282">
        <v>77.099999999999994</v>
      </c>
      <c r="V20" s="284">
        <v>75</v>
      </c>
      <c r="W20" s="98">
        <f t="shared" si="0"/>
        <v>1418.8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73.8</v>
      </c>
      <c r="E21" s="19">
        <v>23.5</v>
      </c>
      <c r="F21" s="19">
        <v>72.3</v>
      </c>
      <c r="G21" s="19">
        <v>72.8</v>
      </c>
      <c r="H21" s="20">
        <v>71.2</v>
      </c>
      <c r="I21" s="61">
        <v>76.2</v>
      </c>
      <c r="J21" s="19">
        <v>77.400000000000006</v>
      </c>
      <c r="K21" s="19">
        <v>75.900000000000006</v>
      </c>
      <c r="L21" s="19">
        <v>23</v>
      </c>
      <c r="M21" s="19">
        <v>74.5</v>
      </c>
      <c r="N21" s="19">
        <v>73</v>
      </c>
      <c r="O21" s="283">
        <v>72.5</v>
      </c>
      <c r="P21" s="281">
        <v>77.5</v>
      </c>
      <c r="Q21" s="282">
        <v>78.599999999999994</v>
      </c>
      <c r="R21" s="282">
        <v>79.5</v>
      </c>
      <c r="S21" s="282">
        <v>24.2</v>
      </c>
      <c r="T21" s="282">
        <v>75.400000000000006</v>
      </c>
      <c r="U21" s="282">
        <v>77.099999999999994</v>
      </c>
      <c r="V21" s="284">
        <v>75</v>
      </c>
      <c r="W21" s="98">
        <f t="shared" si="0"/>
        <v>1419.2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73.900000000000006</v>
      </c>
      <c r="E22" s="19">
        <v>23.5</v>
      </c>
      <c r="F22" s="19">
        <v>72.400000000000006</v>
      </c>
      <c r="G22" s="19">
        <v>72.8</v>
      </c>
      <c r="H22" s="20">
        <v>71.2</v>
      </c>
      <c r="I22" s="61">
        <v>76.3</v>
      </c>
      <c r="J22" s="19">
        <v>77.400000000000006</v>
      </c>
      <c r="K22" s="19">
        <v>75.900000000000006</v>
      </c>
      <c r="L22" s="19">
        <v>23</v>
      </c>
      <c r="M22" s="19">
        <v>74.599999999999994</v>
      </c>
      <c r="N22" s="19">
        <v>73</v>
      </c>
      <c r="O22" s="283">
        <v>72.5</v>
      </c>
      <c r="P22" s="281">
        <v>77.5</v>
      </c>
      <c r="Q22" s="282">
        <v>78.599999999999994</v>
      </c>
      <c r="R22" s="282">
        <v>79.599999999999994</v>
      </c>
      <c r="S22" s="282">
        <v>24.2</v>
      </c>
      <c r="T22" s="282">
        <v>75.400000000000006</v>
      </c>
      <c r="U22" s="282">
        <v>77.2</v>
      </c>
      <c r="V22" s="284">
        <v>75</v>
      </c>
      <c r="W22" s="98">
        <f t="shared" si="0"/>
        <v>1419.8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73.900000000000006</v>
      </c>
      <c r="E23" s="19">
        <v>23.5</v>
      </c>
      <c r="F23" s="19">
        <v>72.400000000000006</v>
      </c>
      <c r="G23" s="19">
        <v>72.8</v>
      </c>
      <c r="H23" s="20">
        <v>71.2</v>
      </c>
      <c r="I23" s="61">
        <v>76.3</v>
      </c>
      <c r="J23" s="19">
        <v>77.5</v>
      </c>
      <c r="K23" s="19">
        <v>75.900000000000006</v>
      </c>
      <c r="L23" s="19">
        <v>23</v>
      </c>
      <c r="M23" s="19">
        <v>74.599999999999994</v>
      </c>
      <c r="N23" s="19">
        <v>73</v>
      </c>
      <c r="O23" s="283">
        <v>72.599999999999994</v>
      </c>
      <c r="P23" s="281">
        <v>77.5</v>
      </c>
      <c r="Q23" s="282">
        <v>78.599999999999994</v>
      </c>
      <c r="R23" s="282">
        <v>79.599999999999994</v>
      </c>
      <c r="S23" s="282">
        <v>24.2</v>
      </c>
      <c r="T23" s="282">
        <v>75.400000000000006</v>
      </c>
      <c r="U23" s="282">
        <v>77.2</v>
      </c>
      <c r="V23" s="284">
        <v>75.099999999999994</v>
      </c>
      <c r="W23" s="98">
        <f t="shared" si="0"/>
        <v>1420.1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73.900000000000006</v>
      </c>
      <c r="E24" s="19">
        <v>23.5</v>
      </c>
      <c r="F24" s="19">
        <v>72.400000000000006</v>
      </c>
      <c r="G24" s="19">
        <v>72.8</v>
      </c>
      <c r="H24" s="20">
        <v>71.2</v>
      </c>
      <c r="I24" s="61">
        <v>76.3</v>
      </c>
      <c r="J24" s="19">
        <v>77.5</v>
      </c>
      <c r="K24" s="19">
        <v>76</v>
      </c>
      <c r="L24" s="19">
        <v>23.1</v>
      </c>
      <c r="M24" s="19">
        <v>74.599999999999994</v>
      </c>
      <c r="N24" s="19">
        <v>73</v>
      </c>
      <c r="O24" s="283">
        <v>72.599999999999994</v>
      </c>
      <c r="P24" s="281">
        <v>77.5</v>
      </c>
      <c r="Q24" s="282">
        <v>78.599999999999994</v>
      </c>
      <c r="R24" s="282">
        <v>79.599999999999994</v>
      </c>
      <c r="S24" s="282">
        <v>24.2</v>
      </c>
      <c r="T24" s="282">
        <v>75.5</v>
      </c>
      <c r="U24" s="282">
        <v>77.2</v>
      </c>
      <c r="V24" s="284">
        <v>75.099999999999994</v>
      </c>
      <c r="W24" s="98">
        <f t="shared" si="0"/>
        <v>1420.3999999999999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511.6</v>
      </c>
      <c r="E25" s="201">
        <f t="shared" si="1"/>
        <v>162.6</v>
      </c>
      <c r="F25" s="201">
        <f t="shared" si="1"/>
        <v>501.4</v>
      </c>
      <c r="G25" s="201">
        <f t="shared" si="1"/>
        <v>503.50000000000006</v>
      </c>
      <c r="H25" s="229">
        <f t="shared" si="1"/>
        <v>493.09999999999997</v>
      </c>
      <c r="I25" s="225">
        <f t="shared" si="1"/>
        <v>528.20000000000005</v>
      </c>
      <c r="J25" s="201">
        <f t="shared" si="1"/>
        <v>536</v>
      </c>
      <c r="K25" s="201">
        <f t="shared" si="1"/>
        <v>526</v>
      </c>
      <c r="L25" s="201">
        <f t="shared" si="1"/>
        <v>158.6</v>
      </c>
      <c r="M25" s="201">
        <f t="shared" si="1"/>
        <v>515.80000000000007</v>
      </c>
      <c r="N25" s="201">
        <f t="shared" si="1"/>
        <v>505.6</v>
      </c>
      <c r="O25" s="229">
        <f t="shared" si="1"/>
        <v>502.1</v>
      </c>
      <c r="P25" s="122">
        <f t="shared" si="1"/>
        <v>535.79999999999995</v>
      </c>
      <c r="Q25" s="120">
        <f t="shared" si="1"/>
        <v>544.6</v>
      </c>
      <c r="R25" s="120">
        <f t="shared" si="1"/>
        <v>551.20000000000005</v>
      </c>
      <c r="S25" s="120">
        <f t="shared" si="1"/>
        <v>166.7</v>
      </c>
      <c r="T25" s="120">
        <f t="shared" si="1"/>
        <v>525.1</v>
      </c>
      <c r="U25" s="120">
        <f t="shared" si="1"/>
        <v>533.6</v>
      </c>
      <c r="V25" s="121">
        <f t="shared" si="1"/>
        <v>518.20000000000005</v>
      </c>
      <c r="W25" s="361">
        <f>SUM(W18:W24)</f>
        <v>9827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121.09524220280711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587</v>
      </c>
      <c r="E27" s="27">
        <v>192</v>
      </c>
      <c r="F27" s="27">
        <v>592</v>
      </c>
      <c r="G27" s="27">
        <v>592</v>
      </c>
      <c r="H27" s="156">
        <v>592</v>
      </c>
      <c r="I27" s="26">
        <v>621</v>
      </c>
      <c r="J27" s="27">
        <v>620</v>
      </c>
      <c r="K27" s="27">
        <v>621</v>
      </c>
      <c r="L27" s="27">
        <v>192</v>
      </c>
      <c r="M27" s="27">
        <v>614</v>
      </c>
      <c r="N27" s="27">
        <v>620</v>
      </c>
      <c r="O27" s="156">
        <v>621</v>
      </c>
      <c r="P27" s="26">
        <v>630</v>
      </c>
      <c r="Q27" s="27">
        <v>630</v>
      </c>
      <c r="R27" s="27">
        <v>630</v>
      </c>
      <c r="S27" s="27">
        <v>192</v>
      </c>
      <c r="T27" s="27">
        <v>605</v>
      </c>
      <c r="U27" s="27">
        <v>630</v>
      </c>
      <c r="V27" s="28">
        <v>630</v>
      </c>
      <c r="W27" s="29">
        <f>SUM(B27:V27)</f>
        <v>11593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73.854099999999988</v>
      </c>
      <c r="E28" s="31">
        <f t="shared" si="2"/>
        <v>23.504799999999999</v>
      </c>
      <c r="F28" s="31">
        <f t="shared" si="2"/>
        <v>72.364799999999988</v>
      </c>
      <c r="G28" s="31">
        <f t="shared" si="2"/>
        <v>72.779199999999989</v>
      </c>
      <c r="H28" s="464">
        <f t="shared" si="2"/>
        <v>71.187200000000004</v>
      </c>
      <c r="I28" s="358">
        <f t="shared" si="2"/>
        <v>76.252099999999999</v>
      </c>
      <c r="J28" s="31">
        <f t="shared" si="2"/>
        <v>77.438000000000002</v>
      </c>
      <c r="K28" s="31">
        <f t="shared" si="2"/>
        <v>75.917400000000001</v>
      </c>
      <c r="L28" s="31">
        <f t="shared" si="2"/>
        <v>23.018400000000003</v>
      </c>
      <c r="M28" s="31">
        <f t="shared" si="2"/>
        <v>74.551999999999992</v>
      </c>
      <c r="N28" s="31">
        <f t="shared" si="2"/>
        <v>73.001999999999995</v>
      </c>
      <c r="O28" s="464">
        <f t="shared" si="2"/>
        <v>72.535699999999991</v>
      </c>
      <c r="P28" s="30">
        <f t="shared" si="2"/>
        <v>77.483000000000018</v>
      </c>
      <c r="Q28" s="31">
        <f t="shared" si="2"/>
        <v>78.606999999999999</v>
      </c>
      <c r="R28" s="31">
        <f t="shared" si="2"/>
        <v>79.570000000000007</v>
      </c>
      <c r="S28" s="31">
        <f t="shared" si="2"/>
        <v>24.191200000000002</v>
      </c>
      <c r="T28" s="31">
        <f t="shared" si="2"/>
        <v>75.427999999999997</v>
      </c>
      <c r="U28" s="31">
        <f t="shared" si="2"/>
        <v>77.162000000000006</v>
      </c>
      <c r="V28" s="32">
        <f t="shared" si="2"/>
        <v>75.034999999999997</v>
      </c>
      <c r="W28" s="362">
        <f>((W25*1000)/7)/W27</f>
        <v>121.09524220280713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511.57049999999998</v>
      </c>
      <c r="E29" s="282">
        <f t="shared" si="3"/>
        <v>162.624</v>
      </c>
      <c r="F29" s="282">
        <f t="shared" si="3"/>
        <v>501.42399999999998</v>
      </c>
      <c r="G29" s="282">
        <f t="shared" si="3"/>
        <v>503.49599999999998</v>
      </c>
      <c r="H29" s="283">
        <f t="shared" si="3"/>
        <v>493.13600000000002</v>
      </c>
      <c r="I29" s="281">
        <f t="shared" si="3"/>
        <v>528.16049999999996</v>
      </c>
      <c r="J29" s="282">
        <f t="shared" si="3"/>
        <v>535.99</v>
      </c>
      <c r="K29" s="282">
        <f t="shared" si="3"/>
        <v>525.98699999999997</v>
      </c>
      <c r="L29" s="282">
        <f t="shared" si="3"/>
        <v>158.59200000000001</v>
      </c>
      <c r="M29" s="282">
        <f t="shared" si="3"/>
        <v>515.76</v>
      </c>
      <c r="N29" s="282">
        <f t="shared" si="3"/>
        <v>505.61</v>
      </c>
      <c r="O29" s="283">
        <f t="shared" si="3"/>
        <v>502.07850000000002</v>
      </c>
      <c r="P29" s="281">
        <f t="shared" si="3"/>
        <v>535.81500000000005</v>
      </c>
      <c r="Q29" s="282">
        <f t="shared" si="3"/>
        <v>544.63499999999999</v>
      </c>
      <c r="R29" s="282">
        <f t="shared" si="3"/>
        <v>551.25</v>
      </c>
      <c r="S29" s="282">
        <f t="shared" si="3"/>
        <v>166.65600000000001</v>
      </c>
      <c r="T29" s="282">
        <f t="shared" si="3"/>
        <v>525.14</v>
      </c>
      <c r="U29" s="282">
        <f t="shared" si="3"/>
        <v>533.61</v>
      </c>
      <c r="V29" s="284">
        <f t="shared" si="3"/>
        <v>518.17499999999995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124.50717936237528</v>
      </c>
      <c r="E30" s="38">
        <f t="shared" si="4"/>
        <v>120.98214285714285</v>
      </c>
      <c r="F30" s="38">
        <f t="shared" si="4"/>
        <v>120.99420849420848</v>
      </c>
      <c r="G30" s="38">
        <f t="shared" si="4"/>
        <v>121.50096525096525</v>
      </c>
      <c r="H30" s="158">
        <f t="shared" si="4"/>
        <v>118.99131274131273</v>
      </c>
      <c r="I30" s="37">
        <f t="shared" si="4"/>
        <v>121.50908672647805</v>
      </c>
      <c r="J30" s="38">
        <f t="shared" si="4"/>
        <v>123.50230414746544</v>
      </c>
      <c r="K30" s="38">
        <f t="shared" si="4"/>
        <v>121.00299056820796</v>
      </c>
      <c r="L30" s="38">
        <f t="shared" si="4"/>
        <v>118.00595238095238</v>
      </c>
      <c r="M30" s="38">
        <f t="shared" si="4"/>
        <v>120.00930665425781</v>
      </c>
      <c r="N30" s="38">
        <f t="shared" si="4"/>
        <v>116.49769585253456</v>
      </c>
      <c r="O30" s="158">
        <f t="shared" si="4"/>
        <v>115.50494593972856</v>
      </c>
      <c r="P30" s="37">
        <f t="shared" si="4"/>
        <v>121.49659863945577</v>
      </c>
      <c r="Q30" s="38">
        <f t="shared" si="4"/>
        <v>123.49206349206349</v>
      </c>
      <c r="R30" s="38">
        <f t="shared" si="4"/>
        <v>124.98866213151928</v>
      </c>
      <c r="S30" s="38">
        <f t="shared" si="4"/>
        <v>124.03273809523809</v>
      </c>
      <c r="T30" s="38">
        <f t="shared" si="4"/>
        <v>123.99055489964582</v>
      </c>
      <c r="U30" s="38">
        <f t="shared" si="4"/>
        <v>120.99773242630387</v>
      </c>
      <c r="V30" s="39">
        <f t="shared" si="4"/>
        <v>117.50566893424038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-2.9500000000041382E-2</v>
      </c>
      <c r="E31" s="42">
        <f t="shared" si="5"/>
        <v>2.4000000000000909E-2</v>
      </c>
      <c r="F31" s="42">
        <f t="shared" si="5"/>
        <v>2.4000000000000909E-2</v>
      </c>
      <c r="G31" s="42">
        <f t="shared" si="5"/>
        <v>-4.0000000000759428E-3</v>
      </c>
      <c r="H31" s="42">
        <f t="shared" si="5"/>
        <v>3.6000000000058208E-2</v>
      </c>
      <c r="I31" s="42">
        <f t="shared" si="5"/>
        <v>-3.950000000008913E-2</v>
      </c>
      <c r="J31" s="42">
        <f t="shared" si="5"/>
        <v>-9.9999999999909051E-3</v>
      </c>
      <c r="K31" s="42">
        <f t="shared" si="5"/>
        <v>-1.3000000000033651E-2</v>
      </c>
      <c r="L31" s="42">
        <f t="shared" si="5"/>
        <v>-7.9999999999813554E-3</v>
      </c>
      <c r="M31" s="42">
        <f t="shared" si="5"/>
        <v>-4.0000000000077307E-2</v>
      </c>
      <c r="N31" s="42">
        <f t="shared" si="5"/>
        <v>9.9999999999909051E-3</v>
      </c>
      <c r="O31" s="42">
        <f t="shared" si="5"/>
        <v>-2.1500000000003183E-2</v>
      </c>
      <c r="P31" s="42">
        <f t="shared" si="5"/>
        <v>1.5000000000100044E-2</v>
      </c>
      <c r="Q31" s="42">
        <f t="shared" si="5"/>
        <v>3.4999999999968168E-2</v>
      </c>
      <c r="R31" s="42">
        <f t="shared" si="5"/>
        <v>4.9999999999954525E-2</v>
      </c>
      <c r="S31" s="42">
        <f t="shared" si="5"/>
        <v>-4.399999999998272E-2</v>
      </c>
      <c r="T31" s="42">
        <f t="shared" si="5"/>
        <v>3.999999999996362E-2</v>
      </c>
      <c r="U31" s="42">
        <f t="shared" si="5"/>
        <v>9.9999999999909051E-3</v>
      </c>
      <c r="V31" s="42">
        <f t="shared" si="5"/>
        <v>-2.5000000000090949E-2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7.1793623752824942E-3</v>
      </c>
      <c r="E32" s="42">
        <f t="shared" si="5"/>
        <v>-1.7857142857153008E-2</v>
      </c>
      <c r="F32" s="42">
        <f t="shared" si="5"/>
        <v>-5.79150579152099E-3</v>
      </c>
      <c r="G32" s="42">
        <f t="shared" si="5"/>
        <v>9.6525096525112986E-4</v>
      </c>
      <c r="H32" s="42">
        <f t="shared" si="5"/>
        <v>-8.6872586872743796E-3</v>
      </c>
      <c r="I32" s="42">
        <f t="shared" si="5"/>
        <v>9.086726478045648E-3</v>
      </c>
      <c r="J32" s="42">
        <f t="shared" si="5"/>
        <v>2.3041474654377225E-3</v>
      </c>
      <c r="K32" s="42">
        <f t="shared" si="5"/>
        <v>2.9905682079629514E-3</v>
      </c>
      <c r="L32" s="42">
        <f t="shared" si="5"/>
        <v>5.952380952379599E-3</v>
      </c>
      <c r="M32" s="42">
        <f t="shared" si="5"/>
        <v>9.3066542578128519E-3</v>
      </c>
      <c r="N32" s="42">
        <f t="shared" si="5"/>
        <v>-2.3041474654377225E-3</v>
      </c>
      <c r="O32" s="42">
        <f t="shared" si="5"/>
        <v>4.9459397285573914E-3</v>
      </c>
      <c r="P32" s="42">
        <f t="shared" si="5"/>
        <v>-3.4013605442311245E-3</v>
      </c>
      <c r="Q32" s="42">
        <f>Q30-Q26</f>
        <v>-7.936507936506132E-3</v>
      </c>
      <c r="R32" s="42">
        <f t="shared" si="5"/>
        <v>-1.1337868480723046E-2</v>
      </c>
      <c r="S32" s="42">
        <f t="shared" si="5"/>
        <v>3.2738095238087794E-2</v>
      </c>
      <c r="T32" s="42">
        <f t="shared" si="5"/>
        <v>-9.4451003541848877E-3</v>
      </c>
      <c r="U32" s="42">
        <f t="shared" si="5"/>
        <v>-2.2675736961303983E-3</v>
      </c>
      <c r="V32" s="42">
        <f t="shared" si="5"/>
        <v>5.6689342403757337E-3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5" t="s">
        <v>8</v>
      </c>
      <c r="C36" s="1036"/>
      <c r="D36" s="1036"/>
      <c r="E36" s="1036"/>
      <c r="F36" s="1036"/>
      <c r="G36" s="1036"/>
      <c r="H36" s="1036"/>
      <c r="I36" s="1036"/>
      <c r="J36" s="1037"/>
      <c r="K36" s="244"/>
      <c r="L36" s="42"/>
      <c r="M36" s="42"/>
      <c r="N36" s="42"/>
      <c r="O36" s="44"/>
      <c r="P36" s="88" t="s">
        <v>18</v>
      </c>
      <c r="Q36" s="1031" t="s">
        <v>8</v>
      </c>
      <c r="R36" s="1032"/>
      <c r="S36" s="1032"/>
      <c r="T36" s="1033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8"/>
      <c r="P56" s="1018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8.1</v>
      </c>
      <c r="Q62" s="282">
        <v>8.1</v>
      </c>
      <c r="R62" s="282">
        <v>8.1</v>
      </c>
      <c r="S62" s="282">
        <v>2.4</v>
      </c>
      <c r="T62" s="282">
        <v>8.1999999999999993</v>
      </c>
      <c r="U62" s="282">
        <v>8.1</v>
      </c>
      <c r="V62" s="282">
        <v>8.1</v>
      </c>
      <c r="W62" s="98">
        <f t="shared" si="14"/>
        <v>149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8.1</v>
      </c>
      <c r="Q63" s="282">
        <v>8.1</v>
      </c>
      <c r="R63" s="282">
        <v>8.1</v>
      </c>
      <c r="S63" s="282">
        <v>2.4</v>
      </c>
      <c r="T63" s="282">
        <v>8.1999999999999993</v>
      </c>
      <c r="U63" s="282">
        <v>8.1</v>
      </c>
      <c r="V63" s="282">
        <v>8.1</v>
      </c>
      <c r="W63" s="98">
        <f t="shared" si="14"/>
        <v>149.29999999999998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8.1999999999999993</v>
      </c>
      <c r="Q64" s="282">
        <v>8.1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149.6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8.1999999999999993</v>
      </c>
      <c r="Q65" s="282">
        <v>8.1999999999999993</v>
      </c>
      <c r="R65" s="282">
        <v>8.1</v>
      </c>
      <c r="S65" s="282">
        <v>2.5</v>
      </c>
      <c r="T65" s="282">
        <v>8.1</v>
      </c>
      <c r="U65" s="282">
        <v>8.1999999999999993</v>
      </c>
      <c r="V65" s="282">
        <v>8.1999999999999993</v>
      </c>
      <c r="W65" s="98">
        <f t="shared" si="14"/>
        <v>150.09999999999997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8.1999999999999993</v>
      </c>
      <c r="Q66" s="282">
        <v>8.1999999999999993</v>
      </c>
      <c r="R66" s="282">
        <v>8.1999999999999993</v>
      </c>
      <c r="S66" s="282">
        <v>2.5</v>
      </c>
      <c r="T66" s="282">
        <v>8.1</v>
      </c>
      <c r="U66" s="282">
        <v>8.1999999999999993</v>
      </c>
      <c r="V66" s="282">
        <v>8.1999999999999993</v>
      </c>
      <c r="W66" s="98">
        <f t="shared" si="14"/>
        <v>150.19999999999999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56.300000000000011</v>
      </c>
      <c r="Q67" s="120">
        <f t="shared" si="15"/>
        <v>56.100000000000009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1033.3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133.70859213250517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60</v>
      </c>
      <c r="Q69" s="27">
        <v>60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1104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8.1560000000000006</v>
      </c>
      <c r="Q70" s="31">
        <f t="shared" si="16"/>
        <v>8.1340000000000003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133.70859213250517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56.28</v>
      </c>
      <c r="Q71" s="282">
        <f t="shared" si="17"/>
        <v>56.07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134.04761904761909</v>
      </c>
      <c r="Q72" s="38">
        <f t="shared" si="18"/>
        <v>133.57142857142858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134.04761904761904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3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-2.0000000000010232E-2</v>
      </c>
      <c r="Q73" s="42">
        <f t="shared" si="19"/>
        <v>-3.0000000000008242E-2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-1.9999999999996021E-2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ref="C74:P74" si="20">C72-C68</f>
        <v>-7.1428571428555188E-2</v>
      </c>
      <c r="D74" s="42">
        <f t="shared" si="20"/>
        <v>-7.1428571428555188E-2</v>
      </c>
      <c r="E74" s="42">
        <f t="shared" si="20"/>
        <v>-0.16666666666665719</v>
      </c>
      <c r="F74" s="42">
        <f t="shared" si="20"/>
        <v>-8.1632653061205929E-2</v>
      </c>
      <c r="G74" s="42">
        <f t="shared" si="20"/>
        <v>-7.1428571428555188E-2</v>
      </c>
      <c r="H74" s="42">
        <f t="shared" si="20"/>
        <v>-7.1428571428555188E-2</v>
      </c>
      <c r="I74" s="42">
        <f t="shared" si="20"/>
        <v>-8.5956416464881613E-2</v>
      </c>
      <c r="J74" s="42">
        <f t="shared" si="20"/>
        <v>-0.10169491525422814</v>
      </c>
      <c r="K74" s="42">
        <f t="shared" si="20"/>
        <v>-8.5956416464881613E-2</v>
      </c>
      <c r="L74" s="42">
        <f t="shared" si="20"/>
        <v>-0.16666666666665719</v>
      </c>
      <c r="M74" s="42">
        <f t="shared" si="20"/>
        <v>-0.10169491525422814</v>
      </c>
      <c r="N74" s="42">
        <f t="shared" si="20"/>
        <v>-8.5956416464881613E-2</v>
      </c>
      <c r="O74" s="42">
        <f t="shared" si="20"/>
        <v>-8.5956416464881613E-2</v>
      </c>
      <c r="P74" s="42">
        <f t="shared" si="20"/>
        <v>4.7619047619093635E-2</v>
      </c>
      <c r="Q74" s="42">
        <f t="shared" ref="Q74:V74" si="21">Q72-Q68</f>
        <v>7.1428571428583609E-2</v>
      </c>
      <c r="R74" s="42">
        <f t="shared" si="21"/>
        <v>7.1428571428583609E-2</v>
      </c>
      <c r="S74" s="42">
        <f t="shared" si="21"/>
        <v>0.12698412698412653</v>
      </c>
      <c r="T74" s="42">
        <f t="shared" si="21"/>
        <v>4.7619047619036792E-2</v>
      </c>
      <c r="U74" s="42">
        <f t="shared" si="21"/>
        <v>7.1428571428583609E-2</v>
      </c>
      <c r="V74" s="42">
        <f t="shared" si="21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P57:V57"/>
    <mergeCell ref="I57:O57"/>
    <mergeCell ref="B36:J36"/>
    <mergeCell ref="O56:P56"/>
    <mergeCell ref="Q36:T36"/>
    <mergeCell ref="P15:V15"/>
    <mergeCell ref="B15:H15"/>
    <mergeCell ref="I15:O15"/>
    <mergeCell ref="B57:H57"/>
  </mergeCells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37"/>
  <dimension ref="A1:AE244"/>
  <sheetViews>
    <sheetView topLeftCell="H1" zoomScale="30" zoomScaleNormal="30" workbookViewId="0">
      <selection activeCell="T40" sqref="T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23</v>
      </c>
      <c r="Q11" s="1022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74.5</v>
      </c>
      <c r="E20" s="19">
        <v>23.5</v>
      </c>
      <c r="F20" s="19">
        <v>72.2</v>
      </c>
      <c r="G20" s="19">
        <v>72.400000000000006</v>
      </c>
      <c r="H20" s="20">
        <v>70.8</v>
      </c>
      <c r="I20" s="61">
        <v>75.7</v>
      </c>
      <c r="J20" s="19">
        <v>77.099999999999994</v>
      </c>
      <c r="K20" s="19">
        <v>75.400000000000006</v>
      </c>
      <c r="L20" s="19">
        <v>23</v>
      </c>
      <c r="M20" s="19">
        <v>75.2</v>
      </c>
      <c r="N20" s="19">
        <v>72.599999999999994</v>
      </c>
      <c r="O20" s="283">
        <v>72.2</v>
      </c>
      <c r="P20" s="281">
        <v>76.8</v>
      </c>
      <c r="Q20" s="282">
        <v>77.900000000000006</v>
      </c>
      <c r="R20" s="282">
        <v>78.8</v>
      </c>
      <c r="S20" s="282">
        <v>24.2</v>
      </c>
      <c r="T20" s="282">
        <v>79</v>
      </c>
      <c r="U20" s="282">
        <v>76.3</v>
      </c>
      <c r="V20" s="284">
        <v>74.2</v>
      </c>
      <c r="W20" s="98">
        <f t="shared" si="0"/>
        <v>1417.5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74.5</v>
      </c>
      <c r="E21" s="19">
        <v>23.5</v>
      </c>
      <c r="F21" s="19">
        <v>72.2</v>
      </c>
      <c r="G21" s="19">
        <v>72.400000000000006</v>
      </c>
      <c r="H21" s="20">
        <v>70.8</v>
      </c>
      <c r="I21" s="61">
        <v>75.7</v>
      </c>
      <c r="J21" s="19">
        <v>77.099999999999994</v>
      </c>
      <c r="K21" s="19">
        <v>75.400000000000006</v>
      </c>
      <c r="L21" s="19">
        <v>23</v>
      </c>
      <c r="M21" s="19">
        <v>75.2</v>
      </c>
      <c r="N21" s="19">
        <v>72.7</v>
      </c>
      <c r="O21" s="283">
        <v>72.2</v>
      </c>
      <c r="P21" s="281">
        <v>76.8</v>
      </c>
      <c r="Q21" s="282">
        <v>77.900000000000006</v>
      </c>
      <c r="R21" s="282">
        <v>78.900000000000006</v>
      </c>
      <c r="S21" s="282">
        <v>24.2</v>
      </c>
      <c r="T21" s="282">
        <v>79.099999999999994</v>
      </c>
      <c r="U21" s="282">
        <v>76.3</v>
      </c>
      <c r="V21" s="284">
        <v>74.2</v>
      </c>
      <c r="W21" s="98">
        <f t="shared" si="0"/>
        <v>1417.9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74.599999999999994</v>
      </c>
      <c r="E22" s="19">
        <v>23.5</v>
      </c>
      <c r="F22" s="19">
        <v>72.2</v>
      </c>
      <c r="G22" s="19">
        <v>72.400000000000006</v>
      </c>
      <c r="H22" s="20">
        <v>70.900000000000006</v>
      </c>
      <c r="I22" s="61">
        <v>75.7</v>
      </c>
      <c r="J22" s="19">
        <v>77.099999999999994</v>
      </c>
      <c r="K22" s="19">
        <v>75.400000000000006</v>
      </c>
      <c r="L22" s="19">
        <v>23</v>
      </c>
      <c r="M22" s="19">
        <v>75.2</v>
      </c>
      <c r="N22" s="19">
        <v>72.7</v>
      </c>
      <c r="O22" s="283">
        <v>72.2</v>
      </c>
      <c r="P22" s="281">
        <v>76.8</v>
      </c>
      <c r="Q22" s="282">
        <v>77.900000000000006</v>
      </c>
      <c r="R22" s="282">
        <v>78.900000000000006</v>
      </c>
      <c r="S22" s="282">
        <v>24.2</v>
      </c>
      <c r="T22" s="282">
        <v>79.099999999999994</v>
      </c>
      <c r="U22" s="282">
        <v>76.3</v>
      </c>
      <c r="V22" s="284">
        <v>74.2</v>
      </c>
      <c r="W22" s="98">
        <f t="shared" si="0"/>
        <v>1418.1000000000001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74.599999999999994</v>
      </c>
      <c r="E23" s="19">
        <v>23.5</v>
      </c>
      <c r="F23" s="19">
        <v>72.2</v>
      </c>
      <c r="G23" s="19">
        <v>72.5</v>
      </c>
      <c r="H23" s="20">
        <v>70.900000000000006</v>
      </c>
      <c r="I23" s="61">
        <v>75.8</v>
      </c>
      <c r="J23" s="19">
        <v>77.099999999999994</v>
      </c>
      <c r="K23" s="19">
        <v>75.400000000000006</v>
      </c>
      <c r="L23" s="19">
        <v>23</v>
      </c>
      <c r="M23" s="19">
        <v>75.2</v>
      </c>
      <c r="N23" s="19">
        <v>72.7</v>
      </c>
      <c r="O23" s="283">
        <v>72.2</v>
      </c>
      <c r="P23" s="281">
        <v>76.8</v>
      </c>
      <c r="Q23" s="282">
        <v>77.900000000000006</v>
      </c>
      <c r="R23" s="282">
        <v>78.900000000000006</v>
      </c>
      <c r="S23" s="282">
        <v>24.2</v>
      </c>
      <c r="T23" s="282">
        <v>79.099999999999994</v>
      </c>
      <c r="U23" s="282">
        <v>76.3</v>
      </c>
      <c r="V23" s="284">
        <v>74.2</v>
      </c>
      <c r="W23" s="98">
        <f t="shared" si="0"/>
        <v>1418.3000000000002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74.599999999999994</v>
      </c>
      <c r="E24" s="19">
        <v>23.5</v>
      </c>
      <c r="F24" s="19">
        <v>72.2</v>
      </c>
      <c r="G24" s="19">
        <v>72.5</v>
      </c>
      <c r="H24" s="20">
        <v>70.900000000000006</v>
      </c>
      <c r="I24" s="61">
        <v>75.8</v>
      </c>
      <c r="J24" s="19">
        <v>77.099999999999994</v>
      </c>
      <c r="K24" s="19">
        <v>75.400000000000006</v>
      </c>
      <c r="L24" s="19">
        <v>23.1</v>
      </c>
      <c r="M24" s="19">
        <v>75.3</v>
      </c>
      <c r="N24" s="19">
        <v>72.7</v>
      </c>
      <c r="O24" s="283">
        <v>72.3</v>
      </c>
      <c r="P24" s="281">
        <v>76.8</v>
      </c>
      <c r="Q24" s="282">
        <v>78</v>
      </c>
      <c r="R24" s="282">
        <v>78.900000000000006</v>
      </c>
      <c r="S24" s="282">
        <v>24.2</v>
      </c>
      <c r="T24" s="282">
        <v>79.099999999999994</v>
      </c>
      <c r="U24" s="282">
        <v>76.400000000000006</v>
      </c>
      <c r="V24" s="284">
        <v>74.3</v>
      </c>
      <c r="W24" s="98">
        <f t="shared" si="0"/>
        <v>1418.9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515.1</v>
      </c>
      <c r="E25" s="201">
        <f t="shared" si="1"/>
        <v>162.6</v>
      </c>
      <c r="F25" s="201">
        <f t="shared" si="1"/>
        <v>500.59999999999997</v>
      </c>
      <c r="G25" s="201">
        <f t="shared" si="1"/>
        <v>501.79999999999995</v>
      </c>
      <c r="H25" s="229">
        <f t="shared" si="1"/>
        <v>491.5</v>
      </c>
      <c r="I25" s="225">
        <f t="shared" si="1"/>
        <v>525.6</v>
      </c>
      <c r="J25" s="201">
        <f t="shared" si="1"/>
        <v>534.30000000000007</v>
      </c>
      <c r="K25" s="201">
        <f t="shared" si="1"/>
        <v>523.4</v>
      </c>
      <c r="L25" s="201">
        <f t="shared" si="1"/>
        <v>158.6</v>
      </c>
      <c r="M25" s="201">
        <f t="shared" si="1"/>
        <v>519.09999999999991</v>
      </c>
      <c r="N25" s="201">
        <f t="shared" si="1"/>
        <v>503.99999999999994</v>
      </c>
      <c r="O25" s="229">
        <f t="shared" si="1"/>
        <v>500.5</v>
      </c>
      <c r="P25" s="122">
        <f t="shared" si="1"/>
        <v>532.4</v>
      </c>
      <c r="Q25" s="120">
        <f t="shared" si="1"/>
        <v>541.19999999999993</v>
      </c>
      <c r="R25" s="120">
        <f t="shared" si="1"/>
        <v>547.79999999999995</v>
      </c>
      <c r="S25" s="120">
        <f t="shared" si="1"/>
        <v>166.7</v>
      </c>
      <c r="T25" s="120">
        <f t="shared" si="1"/>
        <v>543.40000000000009</v>
      </c>
      <c r="U25" s="120">
        <f t="shared" si="1"/>
        <v>529.40000000000009</v>
      </c>
      <c r="V25" s="121">
        <f t="shared" si="1"/>
        <v>514.09999999999991</v>
      </c>
      <c r="W25" s="361">
        <f>SUM(W18:W24)</f>
        <v>9819.4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121.10605443938778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192</v>
      </c>
      <c r="M27" s="27">
        <v>618</v>
      </c>
      <c r="N27" s="27">
        <v>618</v>
      </c>
      <c r="O27" s="156">
        <v>619</v>
      </c>
      <c r="P27" s="26">
        <v>626</v>
      </c>
      <c r="Q27" s="27">
        <v>626</v>
      </c>
      <c r="R27" s="27">
        <v>626</v>
      </c>
      <c r="S27" s="27">
        <v>192</v>
      </c>
      <c r="T27" s="27">
        <v>626</v>
      </c>
      <c r="U27" s="27">
        <v>625</v>
      </c>
      <c r="V27" s="28">
        <v>625</v>
      </c>
      <c r="W27" s="29">
        <f>SUM(B27:V27)</f>
        <v>11583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74.551299999999998</v>
      </c>
      <c r="E28" s="31">
        <f t="shared" si="2"/>
        <v>23.504799999999999</v>
      </c>
      <c r="F28" s="31">
        <f t="shared" si="2"/>
        <v>72.195399999999992</v>
      </c>
      <c r="G28" s="31">
        <f t="shared" si="2"/>
        <v>72.439000000000007</v>
      </c>
      <c r="H28" s="464">
        <f t="shared" si="2"/>
        <v>70.854000000000013</v>
      </c>
      <c r="I28" s="358">
        <f t="shared" si="2"/>
        <v>75.741800000000012</v>
      </c>
      <c r="J28" s="31">
        <f t="shared" si="2"/>
        <v>77.092199999999991</v>
      </c>
      <c r="K28" s="31">
        <f t="shared" si="2"/>
        <v>75.409200000000013</v>
      </c>
      <c r="L28" s="31">
        <f t="shared" si="2"/>
        <v>23.018400000000003</v>
      </c>
      <c r="M28" s="31">
        <f t="shared" si="2"/>
        <v>75.224000000000004</v>
      </c>
      <c r="N28" s="31">
        <f t="shared" si="2"/>
        <v>72.67580000000001</v>
      </c>
      <c r="O28" s="464">
        <f t="shared" si="2"/>
        <v>72.212299999999999</v>
      </c>
      <c r="P28" s="30">
        <f t="shared" si="2"/>
        <v>76.802600000000012</v>
      </c>
      <c r="Q28" s="31">
        <f t="shared" si="2"/>
        <v>77.915400000000005</v>
      </c>
      <c r="R28" s="31">
        <f t="shared" si="2"/>
        <v>78.87</v>
      </c>
      <c r="S28" s="31">
        <f t="shared" si="2"/>
        <v>24.191200000000002</v>
      </c>
      <c r="T28" s="31">
        <f t="shared" si="2"/>
        <v>79.073600000000013</v>
      </c>
      <c r="U28" s="31">
        <f t="shared" si="2"/>
        <v>76.314999999999998</v>
      </c>
      <c r="V28" s="32">
        <f t="shared" si="2"/>
        <v>74.212500000000006</v>
      </c>
      <c r="W28" s="362">
        <f>((W25*1000)/7)/W27</f>
        <v>121.10605443938778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515.05650000000003</v>
      </c>
      <c r="E29" s="282">
        <f t="shared" si="3"/>
        <v>162.624</v>
      </c>
      <c r="F29" s="282">
        <f t="shared" si="3"/>
        <v>500.577</v>
      </c>
      <c r="G29" s="282">
        <f t="shared" si="3"/>
        <v>501.79500000000002</v>
      </c>
      <c r="H29" s="283">
        <f t="shared" si="3"/>
        <v>491.47</v>
      </c>
      <c r="I29" s="281">
        <f t="shared" si="3"/>
        <v>525.60900000000004</v>
      </c>
      <c r="J29" s="282">
        <f t="shared" si="3"/>
        <v>534.26099999999997</v>
      </c>
      <c r="K29" s="282">
        <f t="shared" si="3"/>
        <v>523.44600000000003</v>
      </c>
      <c r="L29" s="282">
        <f t="shared" si="3"/>
        <v>158.59200000000001</v>
      </c>
      <c r="M29" s="282">
        <f t="shared" si="3"/>
        <v>519.12</v>
      </c>
      <c r="N29" s="282">
        <f t="shared" si="3"/>
        <v>503.97899999999998</v>
      </c>
      <c r="O29" s="283">
        <f t="shared" si="3"/>
        <v>500.4615</v>
      </c>
      <c r="P29" s="281">
        <f t="shared" si="3"/>
        <v>532.41300000000001</v>
      </c>
      <c r="Q29" s="282">
        <f t="shared" si="3"/>
        <v>541.17700000000002</v>
      </c>
      <c r="R29" s="282">
        <f t="shared" si="3"/>
        <v>547.75</v>
      </c>
      <c r="S29" s="282">
        <f t="shared" si="3"/>
        <v>166.65600000000001</v>
      </c>
      <c r="T29" s="282">
        <f t="shared" si="3"/>
        <v>543.36800000000005</v>
      </c>
      <c r="U29" s="282">
        <f t="shared" si="3"/>
        <v>529.375</v>
      </c>
      <c r="V29" s="284">
        <f t="shared" si="3"/>
        <v>514.0625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124.51051486584483</v>
      </c>
      <c r="E30" s="38">
        <f t="shared" si="4"/>
        <v>120.98214285714285</v>
      </c>
      <c r="F30" s="38">
        <f t="shared" si="4"/>
        <v>121.00555958423978</v>
      </c>
      <c r="G30" s="38">
        <f t="shared" si="4"/>
        <v>121.50121065375301</v>
      </c>
      <c r="H30" s="158">
        <f t="shared" si="4"/>
        <v>119.00726392251816</v>
      </c>
      <c r="I30" s="37">
        <f t="shared" si="4"/>
        <v>121.49791955617198</v>
      </c>
      <c r="J30" s="38">
        <f t="shared" si="4"/>
        <v>123.50901525658809</v>
      </c>
      <c r="K30" s="38">
        <f t="shared" si="4"/>
        <v>120.98936662043458</v>
      </c>
      <c r="L30" s="38">
        <f t="shared" si="4"/>
        <v>118.00595238095238</v>
      </c>
      <c r="M30" s="38">
        <f t="shared" si="4"/>
        <v>119.99537679149327</v>
      </c>
      <c r="N30" s="38">
        <f t="shared" si="4"/>
        <v>116.50485436893202</v>
      </c>
      <c r="O30" s="158">
        <f t="shared" si="4"/>
        <v>115.50888529886915</v>
      </c>
      <c r="P30" s="37">
        <f t="shared" si="4"/>
        <v>121.49703331811958</v>
      </c>
      <c r="Q30" s="38">
        <f t="shared" si="4"/>
        <v>123.50524874486536</v>
      </c>
      <c r="R30" s="38">
        <f t="shared" si="4"/>
        <v>125.01141031492469</v>
      </c>
      <c r="S30" s="38">
        <f t="shared" si="4"/>
        <v>124.03273809523809</v>
      </c>
      <c r="T30" s="38">
        <f t="shared" si="4"/>
        <v>124.00730260155183</v>
      </c>
      <c r="U30" s="38">
        <f t="shared" si="4"/>
        <v>121.0057142857143</v>
      </c>
      <c r="V30" s="39">
        <f t="shared" si="4"/>
        <v>117.5085714285714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-4.3499999999994543E-2</v>
      </c>
      <c r="E31" s="42">
        <f t="shared" si="5"/>
        <v>2.4000000000000909E-2</v>
      </c>
      <c r="F31" s="42">
        <f t="shared" si="5"/>
        <v>-2.2999999999967713E-2</v>
      </c>
      <c r="G31" s="42">
        <f t="shared" si="5"/>
        <v>-4.9999999999386091E-3</v>
      </c>
      <c r="H31" s="42">
        <f t="shared" si="5"/>
        <v>-2.9999999999972715E-2</v>
      </c>
      <c r="I31" s="42">
        <f t="shared" si="5"/>
        <v>9.0000000000145519E-3</v>
      </c>
      <c r="J31" s="42">
        <f t="shared" si="5"/>
        <v>-3.9000000000100954E-2</v>
      </c>
      <c r="K31" s="42">
        <f t="shared" si="5"/>
        <v>4.6000000000049113E-2</v>
      </c>
      <c r="L31" s="42">
        <f t="shared" si="5"/>
        <v>-7.9999999999813554E-3</v>
      </c>
      <c r="M31" s="42">
        <f t="shared" si="5"/>
        <v>2.0000000000095497E-2</v>
      </c>
      <c r="N31" s="42">
        <f t="shared" si="5"/>
        <v>-2.0999999999958163E-2</v>
      </c>
      <c r="O31" s="42">
        <f t="shared" si="5"/>
        <v>-3.8499999999999091E-2</v>
      </c>
      <c r="P31" s="42">
        <f t="shared" si="5"/>
        <v>1.3000000000033651E-2</v>
      </c>
      <c r="Q31" s="42">
        <f t="shared" si="5"/>
        <v>-2.299999999991087E-2</v>
      </c>
      <c r="R31" s="42">
        <f t="shared" si="5"/>
        <v>-4.9999999999954525E-2</v>
      </c>
      <c r="S31" s="42">
        <f t="shared" si="5"/>
        <v>-4.399999999998272E-2</v>
      </c>
      <c r="T31" s="42">
        <f t="shared" si="5"/>
        <v>-3.2000000000039108E-2</v>
      </c>
      <c r="U31" s="42">
        <f t="shared" si="5"/>
        <v>-2.5000000000090949E-2</v>
      </c>
      <c r="V31" s="42">
        <f t="shared" si="5"/>
        <v>-3.7499999999909051E-2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1.0514865844825749E-2</v>
      </c>
      <c r="E32" s="42">
        <f t="shared" si="5"/>
        <v>-1.7857142857153008E-2</v>
      </c>
      <c r="F32" s="42">
        <f t="shared" si="5"/>
        <v>5.5595842397764272E-3</v>
      </c>
      <c r="G32" s="42">
        <f t="shared" si="5"/>
        <v>1.2106537530058858E-3</v>
      </c>
      <c r="H32" s="42">
        <f t="shared" si="5"/>
        <v>7.2639225181632128E-3</v>
      </c>
      <c r="I32" s="42">
        <f t="shared" si="5"/>
        <v>-2.0804438280208615E-3</v>
      </c>
      <c r="J32" s="42">
        <f t="shared" si="5"/>
        <v>9.0152565880856628E-3</v>
      </c>
      <c r="K32" s="42">
        <f t="shared" si="5"/>
        <v>-1.0633379565419432E-2</v>
      </c>
      <c r="L32" s="42">
        <f t="shared" si="5"/>
        <v>5.952380952379599E-3</v>
      </c>
      <c r="M32" s="42">
        <f t="shared" si="5"/>
        <v>-4.6232085067288153E-3</v>
      </c>
      <c r="N32" s="42">
        <f t="shared" si="5"/>
        <v>4.8543689320155181E-3</v>
      </c>
      <c r="O32" s="42">
        <f t="shared" si="5"/>
        <v>8.8852988691456858E-3</v>
      </c>
      <c r="P32" s="42">
        <f t="shared" si="5"/>
        <v>-2.9666818804230388E-3</v>
      </c>
      <c r="Q32" s="42">
        <f>Q30-Q26</f>
        <v>5.2487448653550928E-3</v>
      </c>
      <c r="R32" s="42">
        <f t="shared" si="5"/>
        <v>1.1410314924688691E-2</v>
      </c>
      <c r="S32" s="42">
        <f t="shared" si="5"/>
        <v>3.2738095238087794E-2</v>
      </c>
      <c r="T32" s="42">
        <f t="shared" si="5"/>
        <v>7.3026015518280474E-3</v>
      </c>
      <c r="U32" s="42">
        <f t="shared" si="5"/>
        <v>5.7142857143048786E-3</v>
      </c>
      <c r="V32" s="42">
        <f t="shared" si="5"/>
        <v>8.5714285714004745E-3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5" t="s">
        <v>8</v>
      </c>
      <c r="C36" s="1036"/>
      <c r="D36" s="1036"/>
      <c r="E36" s="1036"/>
      <c r="F36" s="1036"/>
      <c r="G36" s="1036"/>
      <c r="H36" s="1036"/>
      <c r="I36" s="1036"/>
      <c r="J36" s="1037"/>
      <c r="K36" s="244"/>
      <c r="L36" s="42"/>
      <c r="M36" s="42"/>
      <c r="N36" s="42"/>
      <c r="O36" s="44"/>
      <c r="P36" s="88" t="s">
        <v>18</v>
      </c>
      <c r="Q36" s="1031" t="s">
        <v>8</v>
      </c>
      <c r="R36" s="1032"/>
      <c r="S36" s="1032"/>
      <c r="T36" s="1033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8"/>
      <c r="P56" s="1018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7.9</v>
      </c>
      <c r="Q62" s="282">
        <v>7.9</v>
      </c>
      <c r="R62" s="282">
        <v>8.1</v>
      </c>
      <c r="S62" s="282">
        <v>2.4</v>
      </c>
      <c r="T62" s="282">
        <v>8.1</v>
      </c>
      <c r="U62" s="282">
        <v>8.1</v>
      </c>
      <c r="V62" s="282">
        <v>8.1</v>
      </c>
      <c r="W62" s="98">
        <f t="shared" si="14"/>
        <v>148.50000000000003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7.9</v>
      </c>
      <c r="Q63" s="282">
        <v>7.9</v>
      </c>
      <c r="R63" s="282">
        <v>8.1</v>
      </c>
      <c r="S63" s="282">
        <v>2.4</v>
      </c>
      <c r="T63" s="282">
        <v>8.1</v>
      </c>
      <c r="U63" s="282">
        <v>8.1</v>
      </c>
      <c r="V63" s="282">
        <v>8.1</v>
      </c>
      <c r="W63" s="98">
        <f t="shared" si="14"/>
        <v>148.80000000000001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</v>
      </c>
      <c r="Q64" s="282">
        <v>7.9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149.19999999999999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</v>
      </c>
      <c r="Q65" s="282">
        <v>8</v>
      </c>
      <c r="R65" s="282">
        <v>8.1</v>
      </c>
      <c r="S65" s="282">
        <v>2.5</v>
      </c>
      <c r="T65" s="282">
        <v>8.1999999999999993</v>
      </c>
      <c r="U65" s="282">
        <v>8.1999999999999993</v>
      </c>
      <c r="V65" s="282">
        <v>8.1999999999999993</v>
      </c>
      <c r="W65" s="98">
        <f t="shared" si="14"/>
        <v>149.79999999999995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</v>
      </c>
      <c r="Q66" s="282">
        <v>8</v>
      </c>
      <c r="R66" s="282">
        <v>8.1999999999999993</v>
      </c>
      <c r="S66" s="282">
        <v>2.5</v>
      </c>
      <c r="T66" s="282">
        <v>8.1999999999999993</v>
      </c>
      <c r="U66" s="282">
        <v>8.1999999999999993</v>
      </c>
      <c r="V66" s="282">
        <v>8.1999999999999993</v>
      </c>
      <c r="W66" s="98">
        <f t="shared" si="14"/>
        <v>149.89999999999998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55.3</v>
      </c>
      <c r="Q67" s="120">
        <f t="shared" si="15"/>
        <v>55.1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56.300000000000011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1031.3000000000002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133.69198859217011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59</v>
      </c>
      <c r="Q69" s="27">
        <v>59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1102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7.9683999999999999</v>
      </c>
      <c r="Q70" s="31">
        <f t="shared" si="16"/>
        <v>7.9471000000000007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133.69198859217011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55.341999999999999</v>
      </c>
      <c r="Q71" s="282">
        <f t="shared" si="17"/>
        <v>55.1355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133.89830508474577</v>
      </c>
      <c r="Q72" s="38">
        <f t="shared" si="18"/>
        <v>133.41404358353512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134.04761904761909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4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4.2000000000001592E-2</v>
      </c>
      <c r="Q73" s="42">
        <f t="shared" si="19"/>
        <v>3.5499999999998977E-2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-2.0000000000010232E-2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19"/>
        <v>-7.1428571428555188E-2</v>
      </c>
      <c r="D74" s="42">
        <f t="shared" si="19"/>
        <v>-7.1428571428555188E-2</v>
      </c>
      <c r="E74" s="42">
        <f t="shared" si="19"/>
        <v>-0.16666666666665719</v>
      </c>
      <c r="F74" s="42">
        <f t="shared" si="19"/>
        <v>-8.1632653061205929E-2</v>
      </c>
      <c r="G74" s="42">
        <f t="shared" si="19"/>
        <v>-7.1428571428555188E-2</v>
      </c>
      <c r="H74" s="42">
        <f t="shared" si="19"/>
        <v>-7.1428571428555188E-2</v>
      </c>
      <c r="I74" s="42">
        <f t="shared" si="19"/>
        <v>-8.5956416464881613E-2</v>
      </c>
      <c r="J74" s="42">
        <f t="shared" si="19"/>
        <v>-0.10169491525422814</v>
      </c>
      <c r="K74" s="42">
        <f t="shared" si="19"/>
        <v>-8.5956416464881613E-2</v>
      </c>
      <c r="L74" s="42">
        <f t="shared" si="19"/>
        <v>-0.16666666666665719</v>
      </c>
      <c r="M74" s="42">
        <f t="shared" si="19"/>
        <v>-0.10169491525422814</v>
      </c>
      <c r="N74" s="42">
        <f t="shared" si="19"/>
        <v>-8.5956416464881613E-2</v>
      </c>
      <c r="O74" s="42">
        <f t="shared" si="19"/>
        <v>-8.5956416464881613E-2</v>
      </c>
      <c r="P74" s="42">
        <f t="shared" si="19"/>
        <v>-0.10169491525422814</v>
      </c>
      <c r="Q74" s="42">
        <f>Q72-Q68</f>
        <v>-8.5956416464881613E-2</v>
      </c>
      <c r="R74" s="42">
        <f t="shared" si="19"/>
        <v>7.1428571428583609E-2</v>
      </c>
      <c r="S74" s="42">
        <f t="shared" si="19"/>
        <v>0.12698412698412653</v>
      </c>
      <c r="T74" s="42">
        <f t="shared" si="19"/>
        <v>4.7619047619093635E-2</v>
      </c>
      <c r="U74" s="42">
        <f t="shared" si="19"/>
        <v>7.1428571428583609E-2</v>
      </c>
      <c r="V74" s="42">
        <f t="shared" si="19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J36"/>
    <mergeCell ref="Q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38"/>
  <dimension ref="A1:AE244"/>
  <sheetViews>
    <sheetView topLeftCell="A31" zoomScale="30" zoomScaleNormal="30" workbookViewId="0">
      <selection activeCell="B18" sqref="B18:V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24</v>
      </c>
      <c r="Q11" s="1022"/>
      <c r="R11" s="6"/>
      <c r="S11" s="1" t="s">
        <v>6</v>
      </c>
      <c r="T11" s="95">
        <v>45508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72.7</v>
      </c>
      <c r="C18" s="125">
        <v>73.099999999999994</v>
      </c>
      <c r="D18" s="125">
        <v>74.599999999999994</v>
      </c>
      <c r="E18" s="125">
        <v>23.5</v>
      </c>
      <c r="F18" s="125">
        <v>72.2</v>
      </c>
      <c r="G18" s="125">
        <v>72.5</v>
      </c>
      <c r="H18" s="141">
        <v>70.900000000000006</v>
      </c>
      <c r="I18" s="181">
        <v>75.8</v>
      </c>
      <c r="J18" s="125">
        <v>77.099999999999994</v>
      </c>
      <c r="K18" s="125">
        <v>75.400000000000006</v>
      </c>
      <c r="L18" s="125">
        <v>23.1</v>
      </c>
      <c r="M18" s="125">
        <v>75.3</v>
      </c>
      <c r="N18" s="125">
        <v>72.7</v>
      </c>
      <c r="O18" s="355">
        <v>72.3</v>
      </c>
      <c r="P18" s="281">
        <v>76.8</v>
      </c>
      <c r="Q18" s="282">
        <v>78</v>
      </c>
      <c r="R18" s="282">
        <v>78.900000000000006</v>
      </c>
      <c r="S18" s="282">
        <v>24.2</v>
      </c>
      <c r="T18" s="282">
        <v>79.099999999999994</v>
      </c>
      <c r="U18" s="282">
        <v>76.400000000000006</v>
      </c>
      <c r="V18" s="284">
        <v>74.3</v>
      </c>
      <c r="W18" s="98">
        <f t="shared" ref="W18:W24" si="0">SUM(B18:V18)</f>
        <v>1418.9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72.7</v>
      </c>
      <c r="C19" s="19">
        <v>73.099999999999994</v>
      </c>
      <c r="D19" s="19">
        <v>74.599999999999994</v>
      </c>
      <c r="E19" s="19">
        <v>23.5</v>
      </c>
      <c r="F19" s="19">
        <v>72.2</v>
      </c>
      <c r="G19" s="19">
        <v>72.5</v>
      </c>
      <c r="H19" s="20">
        <v>70.900000000000006</v>
      </c>
      <c r="I19" s="61">
        <v>75.8</v>
      </c>
      <c r="J19" s="19">
        <v>77.099999999999994</v>
      </c>
      <c r="K19" s="19">
        <v>75.400000000000006</v>
      </c>
      <c r="L19" s="19">
        <v>23.1</v>
      </c>
      <c r="M19" s="19">
        <v>75.3</v>
      </c>
      <c r="N19" s="19">
        <v>72.7</v>
      </c>
      <c r="O19" s="284">
        <v>72.3</v>
      </c>
      <c r="P19" s="281">
        <v>76.8</v>
      </c>
      <c r="Q19" s="282">
        <v>78</v>
      </c>
      <c r="R19" s="282">
        <v>78.900000000000006</v>
      </c>
      <c r="S19" s="282">
        <v>24.2</v>
      </c>
      <c r="T19" s="282">
        <v>79.099999999999994</v>
      </c>
      <c r="U19" s="282">
        <v>76.400000000000006</v>
      </c>
      <c r="V19" s="284">
        <v>74.3</v>
      </c>
      <c r="W19" s="98">
        <f t="shared" si="0"/>
        <v>1418.9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75.400000000000006</v>
      </c>
      <c r="C20" s="19">
        <v>75.8</v>
      </c>
      <c r="D20" s="19">
        <v>76.400000000000006</v>
      </c>
      <c r="E20" s="19">
        <v>24.3</v>
      </c>
      <c r="F20" s="19">
        <v>74.5</v>
      </c>
      <c r="G20" s="19">
        <v>75.400000000000006</v>
      </c>
      <c r="H20" s="20">
        <v>74</v>
      </c>
      <c r="I20" s="61">
        <v>78.2</v>
      </c>
      <c r="J20" s="19">
        <v>79.400000000000006</v>
      </c>
      <c r="K20" s="19">
        <v>78.400000000000006</v>
      </c>
      <c r="L20" s="19">
        <v>23.2</v>
      </c>
      <c r="M20" s="19">
        <v>77.599999999999994</v>
      </c>
      <c r="N20" s="19">
        <v>75.400000000000006</v>
      </c>
      <c r="O20" s="284">
        <v>74.599999999999994</v>
      </c>
      <c r="P20" s="281">
        <v>80.099999999999994</v>
      </c>
      <c r="Q20" s="282">
        <v>80.5</v>
      </c>
      <c r="R20" s="282">
        <v>80.7</v>
      </c>
      <c r="S20" s="282">
        <v>24.7</v>
      </c>
      <c r="T20" s="282">
        <v>80.3</v>
      </c>
      <c r="U20" s="282">
        <v>78.8</v>
      </c>
      <c r="V20" s="284">
        <v>76.599999999999994</v>
      </c>
      <c r="W20" s="98">
        <f t="shared" si="0"/>
        <v>1464.3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75.400000000000006</v>
      </c>
      <c r="C21" s="19">
        <v>75.8</v>
      </c>
      <c r="D21" s="19">
        <v>76.5</v>
      </c>
      <c r="E21" s="19">
        <v>24.3</v>
      </c>
      <c r="F21" s="19">
        <v>74.5</v>
      </c>
      <c r="G21" s="19">
        <v>75.5</v>
      </c>
      <c r="H21" s="20">
        <v>74</v>
      </c>
      <c r="I21" s="61">
        <v>78.2</v>
      </c>
      <c r="J21" s="19">
        <v>79.5</v>
      </c>
      <c r="K21" s="19">
        <v>78.400000000000006</v>
      </c>
      <c r="L21" s="19">
        <v>23.2</v>
      </c>
      <c r="M21" s="19">
        <v>77.599999999999994</v>
      </c>
      <c r="N21" s="19">
        <v>75.400000000000006</v>
      </c>
      <c r="O21" s="284">
        <v>74.599999999999994</v>
      </c>
      <c r="P21" s="281">
        <v>80.099999999999994</v>
      </c>
      <c r="Q21" s="282">
        <v>80.5</v>
      </c>
      <c r="R21" s="282">
        <v>80.7</v>
      </c>
      <c r="S21" s="282">
        <v>24.7</v>
      </c>
      <c r="T21" s="282">
        <v>80.3</v>
      </c>
      <c r="U21" s="282">
        <v>78.8</v>
      </c>
      <c r="V21" s="284">
        <v>76.599999999999994</v>
      </c>
      <c r="W21" s="98">
        <f t="shared" si="0"/>
        <v>1464.6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75.400000000000006</v>
      </c>
      <c r="C22" s="19">
        <v>75.8</v>
      </c>
      <c r="D22" s="19">
        <v>76.5</v>
      </c>
      <c r="E22" s="19">
        <v>24.3</v>
      </c>
      <c r="F22" s="19">
        <v>74.5</v>
      </c>
      <c r="G22" s="19">
        <v>75.5</v>
      </c>
      <c r="H22" s="20">
        <v>74.099999999999994</v>
      </c>
      <c r="I22" s="61">
        <v>78.3</v>
      </c>
      <c r="J22" s="19">
        <v>79.5</v>
      </c>
      <c r="K22" s="19">
        <v>78.400000000000006</v>
      </c>
      <c r="L22" s="19">
        <v>23.2</v>
      </c>
      <c r="M22" s="19">
        <v>77.599999999999994</v>
      </c>
      <c r="N22" s="19">
        <v>75.400000000000006</v>
      </c>
      <c r="O22" s="284">
        <v>74.599999999999994</v>
      </c>
      <c r="P22" s="281">
        <v>80.099999999999994</v>
      </c>
      <c r="Q22" s="282">
        <v>80.5</v>
      </c>
      <c r="R22" s="282">
        <v>80.7</v>
      </c>
      <c r="S22" s="282">
        <v>24.7</v>
      </c>
      <c r="T22" s="282">
        <v>80.400000000000006</v>
      </c>
      <c r="U22" s="282">
        <v>78.8</v>
      </c>
      <c r="V22" s="284">
        <v>76.599999999999994</v>
      </c>
      <c r="W22" s="98">
        <f t="shared" si="0"/>
        <v>1464.9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75.400000000000006</v>
      </c>
      <c r="C23" s="19">
        <v>75.900000000000006</v>
      </c>
      <c r="D23" s="19">
        <v>76.5</v>
      </c>
      <c r="E23" s="19">
        <v>24.4</v>
      </c>
      <c r="F23" s="19">
        <v>74.599999999999994</v>
      </c>
      <c r="G23" s="19">
        <v>75.5</v>
      </c>
      <c r="H23" s="20">
        <v>74.099999999999994</v>
      </c>
      <c r="I23" s="61">
        <v>78.3</v>
      </c>
      <c r="J23" s="19">
        <v>79.5</v>
      </c>
      <c r="K23" s="19">
        <v>78.400000000000006</v>
      </c>
      <c r="L23" s="19">
        <v>23.2</v>
      </c>
      <c r="M23" s="19">
        <v>77.599999999999994</v>
      </c>
      <c r="N23" s="19">
        <v>75.5</v>
      </c>
      <c r="O23" s="284">
        <v>74.7</v>
      </c>
      <c r="P23" s="281">
        <v>80.2</v>
      </c>
      <c r="Q23" s="282">
        <v>80.599999999999994</v>
      </c>
      <c r="R23" s="282">
        <v>80.7</v>
      </c>
      <c r="S23" s="282">
        <v>24.7</v>
      </c>
      <c r="T23" s="282">
        <v>80.400000000000006</v>
      </c>
      <c r="U23" s="282">
        <v>78.8</v>
      </c>
      <c r="V23" s="284">
        <v>76.599999999999994</v>
      </c>
      <c r="W23" s="98">
        <f t="shared" si="0"/>
        <v>1465.6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75.400000000000006</v>
      </c>
      <c r="C24" s="227">
        <v>75.900000000000006</v>
      </c>
      <c r="D24" s="227">
        <v>76.5</v>
      </c>
      <c r="E24" s="227">
        <v>24.4</v>
      </c>
      <c r="F24" s="227">
        <v>74.599999999999994</v>
      </c>
      <c r="G24" s="227">
        <v>75.5</v>
      </c>
      <c r="H24" s="228">
        <v>74.099999999999994</v>
      </c>
      <c r="I24" s="332">
        <v>78.3</v>
      </c>
      <c r="J24" s="227">
        <v>79.5</v>
      </c>
      <c r="K24" s="227">
        <v>78.5</v>
      </c>
      <c r="L24" s="227">
        <v>23.3</v>
      </c>
      <c r="M24" s="227">
        <v>77.599999999999994</v>
      </c>
      <c r="N24" s="227">
        <v>75.5</v>
      </c>
      <c r="O24" s="39">
        <v>74.7</v>
      </c>
      <c r="P24" s="281">
        <v>80.2</v>
      </c>
      <c r="Q24" s="282">
        <v>80.599999999999994</v>
      </c>
      <c r="R24" s="282">
        <v>80.7</v>
      </c>
      <c r="S24" s="282">
        <v>24.8</v>
      </c>
      <c r="T24" s="282">
        <v>80.400000000000006</v>
      </c>
      <c r="U24" s="282">
        <v>78.900000000000006</v>
      </c>
      <c r="V24" s="284">
        <v>76.599999999999994</v>
      </c>
      <c r="W24" s="98">
        <f t="shared" si="0"/>
        <v>1466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522.4</v>
      </c>
      <c r="C25" s="201">
        <f>SUM(C18:C24)</f>
        <v>525.4</v>
      </c>
      <c r="D25" s="201">
        <f t="shared" ref="D25:V25" si="1">SUM(D18:D24)</f>
        <v>531.6</v>
      </c>
      <c r="E25" s="201">
        <f t="shared" si="1"/>
        <v>168.7</v>
      </c>
      <c r="F25" s="201">
        <f t="shared" si="1"/>
        <v>517.1</v>
      </c>
      <c r="G25" s="201">
        <f t="shared" si="1"/>
        <v>522.4</v>
      </c>
      <c r="H25" s="229">
        <f t="shared" si="1"/>
        <v>512.1</v>
      </c>
      <c r="I25" s="225">
        <f t="shared" si="1"/>
        <v>542.9</v>
      </c>
      <c r="J25" s="201">
        <f t="shared" si="1"/>
        <v>551.6</v>
      </c>
      <c r="K25" s="201">
        <f t="shared" si="1"/>
        <v>542.9</v>
      </c>
      <c r="L25" s="201">
        <f t="shared" si="1"/>
        <v>162.30000000000001</v>
      </c>
      <c r="M25" s="201">
        <f t="shared" si="1"/>
        <v>538.6</v>
      </c>
      <c r="N25" s="201">
        <f t="shared" si="1"/>
        <v>522.6</v>
      </c>
      <c r="O25" s="229">
        <f t="shared" si="1"/>
        <v>517.79999999999995</v>
      </c>
      <c r="P25" s="122">
        <f t="shared" si="1"/>
        <v>554.29999999999995</v>
      </c>
      <c r="Q25" s="120">
        <f t="shared" si="1"/>
        <v>558.70000000000005</v>
      </c>
      <c r="R25" s="120">
        <f t="shared" si="1"/>
        <v>561.29999999999995</v>
      </c>
      <c r="S25" s="120">
        <f t="shared" si="1"/>
        <v>172</v>
      </c>
      <c r="T25" s="120">
        <f t="shared" si="1"/>
        <v>560</v>
      </c>
      <c r="U25" s="120">
        <f t="shared" si="1"/>
        <v>546.90000000000009</v>
      </c>
      <c r="V25" s="121">
        <f t="shared" si="1"/>
        <v>531.6</v>
      </c>
      <c r="W25" s="361">
        <f>SUM(W18:W24)</f>
        <v>10163.200000000001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126.5</v>
      </c>
      <c r="C26" s="24">
        <v>127</v>
      </c>
      <c r="D26" s="24">
        <v>128.5</v>
      </c>
      <c r="E26" s="24">
        <v>125.5</v>
      </c>
      <c r="F26" s="24">
        <v>125</v>
      </c>
      <c r="G26" s="24">
        <v>126.5</v>
      </c>
      <c r="H26" s="155">
        <v>124</v>
      </c>
      <c r="I26" s="23">
        <v>125.5</v>
      </c>
      <c r="J26" s="24">
        <v>127.5</v>
      </c>
      <c r="K26" s="24">
        <v>125.5</v>
      </c>
      <c r="L26" s="24">
        <v>122</v>
      </c>
      <c r="M26" s="24">
        <v>124.5</v>
      </c>
      <c r="N26" s="24">
        <v>121</v>
      </c>
      <c r="O26" s="155">
        <v>119.5</v>
      </c>
      <c r="P26" s="23">
        <v>126.5</v>
      </c>
      <c r="Q26" s="24">
        <v>127.5</v>
      </c>
      <c r="R26" s="24">
        <v>128.5</v>
      </c>
      <c r="S26" s="24">
        <v>128</v>
      </c>
      <c r="T26" s="24">
        <v>128</v>
      </c>
      <c r="U26" s="24">
        <v>125</v>
      </c>
      <c r="V26" s="25">
        <v>121.5</v>
      </c>
      <c r="W26" s="99">
        <f>((W25/W27)/7)*1000</f>
        <v>125.42205548425314</v>
      </c>
    </row>
    <row r="27" spans="1:31" s="2" customFormat="1" ht="33" customHeight="1" x14ac:dyDescent="0.25">
      <c r="A27" s="149" t="s">
        <v>12</v>
      </c>
      <c r="B27" s="26">
        <v>590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190</v>
      </c>
      <c r="M27" s="27">
        <v>618</v>
      </c>
      <c r="N27" s="27">
        <v>617</v>
      </c>
      <c r="O27" s="156">
        <v>619</v>
      </c>
      <c r="P27" s="26">
        <v>626</v>
      </c>
      <c r="Q27" s="27">
        <v>626</v>
      </c>
      <c r="R27" s="27">
        <v>624</v>
      </c>
      <c r="S27" s="27">
        <v>192</v>
      </c>
      <c r="T27" s="27">
        <v>625</v>
      </c>
      <c r="U27" s="27">
        <v>625</v>
      </c>
      <c r="V27" s="28">
        <v>625</v>
      </c>
      <c r="W27" s="29">
        <f>SUM(B27:V27)</f>
        <v>11576</v>
      </c>
    </row>
    <row r="28" spans="1:31" s="2" customFormat="1" ht="33" customHeight="1" x14ac:dyDescent="0.25">
      <c r="A28" s="150" t="s">
        <v>13</v>
      </c>
      <c r="B28" s="358">
        <f>((((B26*7)*B27)/1000)-(B18+B19))/5</f>
        <v>75.40900000000002</v>
      </c>
      <c r="C28" s="31">
        <f t="shared" ref="C28:V28" si="2">((((C26*7)*C27)/1000)-(C18+C19))/5</f>
        <v>75.839799999999997</v>
      </c>
      <c r="D28" s="31">
        <f t="shared" si="2"/>
        <v>76.480900000000005</v>
      </c>
      <c r="E28" s="31">
        <f t="shared" si="2"/>
        <v>24.334399999999999</v>
      </c>
      <c r="F28" s="31">
        <f t="shared" si="2"/>
        <v>74.545000000000002</v>
      </c>
      <c r="G28" s="31">
        <f t="shared" si="2"/>
        <v>75.489000000000004</v>
      </c>
      <c r="H28" s="464">
        <f t="shared" si="2"/>
        <v>74.063999999999993</v>
      </c>
      <c r="I28" s="358">
        <f t="shared" si="2"/>
        <v>78.262599999999992</v>
      </c>
      <c r="J28" s="31">
        <f t="shared" si="2"/>
        <v>79.473000000000013</v>
      </c>
      <c r="K28" s="31">
        <f t="shared" si="2"/>
        <v>78.422600000000003</v>
      </c>
      <c r="L28" s="31">
        <f t="shared" si="2"/>
        <v>23.211999999999996</v>
      </c>
      <c r="M28" s="31">
        <f t="shared" si="2"/>
        <v>77.597399999999993</v>
      </c>
      <c r="N28" s="31">
        <f t="shared" si="2"/>
        <v>75.43980000000002</v>
      </c>
      <c r="O28" s="464">
        <f t="shared" si="2"/>
        <v>74.6387</v>
      </c>
      <c r="P28" s="30">
        <f t="shared" si="2"/>
        <v>80.144599999999997</v>
      </c>
      <c r="Q28" s="31">
        <f t="shared" si="2"/>
        <v>80.541000000000011</v>
      </c>
      <c r="R28" s="31">
        <f t="shared" si="2"/>
        <v>80.697599999999994</v>
      </c>
      <c r="S28" s="31">
        <f t="shared" si="2"/>
        <v>24.726400000000002</v>
      </c>
      <c r="T28" s="31">
        <f t="shared" si="2"/>
        <v>80.36</v>
      </c>
      <c r="U28" s="31">
        <f t="shared" si="2"/>
        <v>78.814999999999998</v>
      </c>
      <c r="V28" s="32">
        <f t="shared" si="2"/>
        <v>76.592500000000001</v>
      </c>
      <c r="W28" s="362">
        <f>((W25*1000)/7)/W27</f>
        <v>125.42205548425314</v>
      </c>
    </row>
    <row r="29" spans="1:31" ht="33.75" customHeight="1" x14ac:dyDescent="0.25">
      <c r="A29" s="151" t="s">
        <v>14</v>
      </c>
      <c r="B29" s="281">
        <f>((B27*B26)*7)/1000</f>
        <v>522.44500000000005</v>
      </c>
      <c r="C29" s="282">
        <f>((C27*C26)*7)/1000</f>
        <v>525.399</v>
      </c>
      <c r="D29" s="282">
        <f t="shared" ref="D29:V29" si="3">((D27*D26)*7)/1000</f>
        <v>531.60450000000003</v>
      </c>
      <c r="E29" s="282">
        <f t="shared" si="3"/>
        <v>168.672</v>
      </c>
      <c r="F29" s="282">
        <f t="shared" si="3"/>
        <v>517.125</v>
      </c>
      <c r="G29" s="282">
        <f t="shared" si="3"/>
        <v>522.44500000000005</v>
      </c>
      <c r="H29" s="283">
        <f t="shared" si="3"/>
        <v>512.12</v>
      </c>
      <c r="I29" s="281">
        <f t="shared" si="3"/>
        <v>542.91300000000001</v>
      </c>
      <c r="J29" s="282">
        <f t="shared" si="3"/>
        <v>551.56500000000005</v>
      </c>
      <c r="K29" s="282">
        <f t="shared" si="3"/>
        <v>542.91300000000001</v>
      </c>
      <c r="L29" s="282">
        <f t="shared" si="3"/>
        <v>162.26</v>
      </c>
      <c r="M29" s="282">
        <f t="shared" si="3"/>
        <v>538.58699999999999</v>
      </c>
      <c r="N29" s="282">
        <f t="shared" si="3"/>
        <v>522.59900000000005</v>
      </c>
      <c r="O29" s="283">
        <f t="shared" si="3"/>
        <v>517.79349999999999</v>
      </c>
      <c r="P29" s="281">
        <f t="shared" si="3"/>
        <v>554.32299999999998</v>
      </c>
      <c r="Q29" s="282">
        <f t="shared" si="3"/>
        <v>558.70500000000004</v>
      </c>
      <c r="R29" s="282">
        <f t="shared" si="3"/>
        <v>561.28800000000001</v>
      </c>
      <c r="S29" s="282">
        <f t="shared" si="3"/>
        <v>172.03200000000001</v>
      </c>
      <c r="T29" s="282">
        <f t="shared" si="3"/>
        <v>560</v>
      </c>
      <c r="U29" s="282">
        <f t="shared" si="3"/>
        <v>546.875</v>
      </c>
      <c r="V29" s="284">
        <f t="shared" si="3"/>
        <v>531.5625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126.48910411622275</v>
      </c>
      <c r="C30" s="38">
        <f t="shared" ref="C30:V30" si="4">+(C25/C27)/7*1000</f>
        <v>127.0002417210539</v>
      </c>
      <c r="D30" s="38">
        <f t="shared" si="4"/>
        <v>128.49891225525741</v>
      </c>
      <c r="E30" s="38">
        <f t="shared" si="4"/>
        <v>125.52083333333333</v>
      </c>
      <c r="F30" s="38">
        <f t="shared" si="4"/>
        <v>124.99395697365242</v>
      </c>
      <c r="G30" s="38">
        <f t="shared" si="4"/>
        <v>126.48910411622275</v>
      </c>
      <c r="H30" s="158">
        <f t="shared" si="4"/>
        <v>123.99515738498789</v>
      </c>
      <c r="I30" s="37">
        <f t="shared" si="4"/>
        <v>125.49699491447063</v>
      </c>
      <c r="J30" s="38">
        <f t="shared" si="4"/>
        <v>127.50809061488674</v>
      </c>
      <c r="K30" s="38">
        <f t="shared" si="4"/>
        <v>125.49699491447063</v>
      </c>
      <c r="L30" s="38">
        <f t="shared" si="4"/>
        <v>122.03007518796993</v>
      </c>
      <c r="M30" s="38">
        <f t="shared" si="4"/>
        <v>124.50300508552937</v>
      </c>
      <c r="N30" s="38">
        <f t="shared" si="4"/>
        <v>121.00023153507756</v>
      </c>
      <c r="O30" s="158">
        <f t="shared" si="4"/>
        <v>119.50150011539348</v>
      </c>
      <c r="P30" s="37">
        <f t="shared" si="4"/>
        <v>126.49475125513463</v>
      </c>
      <c r="Q30" s="38">
        <f t="shared" si="4"/>
        <v>127.49885896850755</v>
      </c>
      <c r="R30" s="38">
        <f t="shared" si="4"/>
        <v>128.50274725274724</v>
      </c>
      <c r="S30" s="38">
        <f t="shared" si="4"/>
        <v>127.9761904761905</v>
      </c>
      <c r="T30" s="38">
        <f t="shared" si="4"/>
        <v>128</v>
      </c>
      <c r="U30" s="38">
        <f t="shared" si="4"/>
        <v>125.0057142857143</v>
      </c>
      <c r="V30" s="39">
        <f t="shared" si="4"/>
        <v>121.50857142857143</v>
      </c>
      <c r="W30" s="40"/>
    </row>
    <row r="31" spans="1:31" ht="33.75" customHeight="1" x14ac:dyDescent="0.25">
      <c r="A31" s="41"/>
      <c r="B31" s="42">
        <f>B29-B25</f>
        <v>4.500000000007276E-2</v>
      </c>
      <c r="C31" s="42">
        <f t="shared" ref="C31:V32" si="5">C29-C25</f>
        <v>-9.9999999997635314E-4</v>
      </c>
      <c r="D31" s="42">
        <f t="shared" si="5"/>
        <v>4.500000000007276E-3</v>
      </c>
      <c r="E31" s="42">
        <f t="shared" si="5"/>
        <v>-2.7999999999991587E-2</v>
      </c>
      <c r="F31" s="42">
        <f t="shared" si="5"/>
        <v>2.4999999999977263E-2</v>
      </c>
      <c r="G31" s="42">
        <f t="shared" si="5"/>
        <v>4.500000000007276E-2</v>
      </c>
      <c r="H31" s="42">
        <f t="shared" si="5"/>
        <v>1.999999999998181E-2</v>
      </c>
      <c r="I31" s="42">
        <f t="shared" si="5"/>
        <v>1.3000000000033651E-2</v>
      </c>
      <c r="J31" s="42">
        <f t="shared" si="5"/>
        <v>-3.4999999999968168E-2</v>
      </c>
      <c r="K31" s="42">
        <f t="shared" si="5"/>
        <v>1.3000000000033651E-2</v>
      </c>
      <c r="L31" s="42">
        <f t="shared" si="5"/>
        <v>-4.0000000000020464E-2</v>
      </c>
      <c r="M31" s="42">
        <f t="shared" si="5"/>
        <v>-1.3000000000033651E-2</v>
      </c>
      <c r="N31" s="42">
        <f t="shared" si="5"/>
        <v>-9.9999999997635314E-4</v>
      </c>
      <c r="O31" s="42">
        <f t="shared" si="5"/>
        <v>-6.4999999999599822E-3</v>
      </c>
      <c r="P31" s="42">
        <f t="shared" si="5"/>
        <v>2.3000000000024556E-2</v>
      </c>
      <c r="Q31" s="42">
        <f t="shared" si="5"/>
        <v>4.9999999999954525E-3</v>
      </c>
      <c r="R31" s="42">
        <f t="shared" si="5"/>
        <v>-1.1999999999943611E-2</v>
      </c>
      <c r="S31" s="42">
        <f t="shared" si="5"/>
        <v>3.2000000000010687E-2</v>
      </c>
      <c r="T31" s="42">
        <f t="shared" si="5"/>
        <v>0</v>
      </c>
      <c r="U31" s="42">
        <f t="shared" si="5"/>
        <v>-2.5000000000090949E-2</v>
      </c>
      <c r="V31" s="42">
        <f t="shared" si="5"/>
        <v>-3.7500000000022737E-2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-1.0895883777251925E-2</v>
      </c>
      <c r="C32" s="42">
        <f t="shared" si="5"/>
        <v>2.4172105389652643E-4</v>
      </c>
      <c r="D32" s="42">
        <f t="shared" si="5"/>
        <v>-1.0877447425912123E-3</v>
      </c>
      <c r="E32" s="42">
        <f t="shared" si="5"/>
        <v>2.0833333333328596E-2</v>
      </c>
      <c r="F32" s="42">
        <f t="shared" si="5"/>
        <v>-6.0430263475836909E-3</v>
      </c>
      <c r="G32" s="42">
        <f t="shared" si="5"/>
        <v>-1.0895883777251925E-2</v>
      </c>
      <c r="H32" s="42">
        <f t="shared" si="5"/>
        <v>-4.8426150121088085E-3</v>
      </c>
      <c r="I32" s="42">
        <f t="shared" si="5"/>
        <v>-3.0050855293666245E-3</v>
      </c>
      <c r="J32" s="42">
        <f t="shared" si="5"/>
        <v>8.0906148867398997E-3</v>
      </c>
      <c r="K32" s="42">
        <f t="shared" si="5"/>
        <v>-3.0050855293666245E-3</v>
      </c>
      <c r="L32" s="42">
        <f t="shared" si="5"/>
        <v>3.0075187969927697E-2</v>
      </c>
      <c r="M32" s="42">
        <f t="shared" si="5"/>
        <v>3.0050855293666245E-3</v>
      </c>
      <c r="N32" s="42">
        <f t="shared" si="5"/>
        <v>2.3153507756035197E-4</v>
      </c>
      <c r="O32" s="42">
        <f t="shared" si="5"/>
        <v>1.5001153934832701E-3</v>
      </c>
      <c r="P32" s="42">
        <f t="shared" si="5"/>
        <v>-5.2487448653693036E-3</v>
      </c>
      <c r="Q32" s="42">
        <f>Q30-Q26</f>
        <v>-1.1410314924518161E-3</v>
      </c>
      <c r="R32" s="42">
        <f t="shared" si="5"/>
        <v>2.7472527472411912E-3</v>
      </c>
      <c r="S32" s="42">
        <f t="shared" si="5"/>
        <v>-2.3809523809504185E-2</v>
      </c>
      <c r="T32" s="42">
        <f t="shared" si="5"/>
        <v>0</v>
      </c>
      <c r="U32" s="42">
        <f t="shared" si="5"/>
        <v>5.7142857143048786E-3</v>
      </c>
      <c r="V32" s="42">
        <f t="shared" si="5"/>
        <v>8.5714285714288962E-3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5" t="s">
        <v>8</v>
      </c>
      <c r="C36" s="1036"/>
      <c r="D36" s="1036"/>
      <c r="E36" s="1036"/>
      <c r="F36" s="1036"/>
      <c r="G36" s="1036"/>
      <c r="H36" s="1036"/>
      <c r="I36" s="1036"/>
      <c r="J36" s="1037"/>
      <c r="K36" s="244"/>
      <c r="L36" s="42"/>
      <c r="M36" s="42"/>
      <c r="N36" s="42"/>
      <c r="O36" s="44"/>
      <c r="P36" s="88" t="s">
        <v>18</v>
      </c>
      <c r="Q36" s="1031" t="s">
        <v>8</v>
      </c>
      <c r="R36" s="1032"/>
      <c r="S36" s="1032"/>
      <c r="T36" s="1033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18">
        <v>51.5</v>
      </c>
      <c r="C39" s="19">
        <v>57.6</v>
      </c>
      <c r="D39" s="19">
        <v>49.1</v>
      </c>
      <c r="E39" s="19">
        <v>35.5</v>
      </c>
      <c r="F39" s="19">
        <v>21.2</v>
      </c>
      <c r="G39" s="19">
        <v>47</v>
      </c>
      <c r="H39" s="19">
        <v>97.7</v>
      </c>
      <c r="I39" s="20">
        <v>49.8</v>
      </c>
      <c r="J39" s="263">
        <f t="shared" ref="J39:J46" si="6">SUM(B39:I39)</f>
        <v>409.4</v>
      </c>
      <c r="K39" s="49"/>
      <c r="L39" s="42"/>
      <c r="M39" s="42"/>
      <c r="N39" s="42"/>
      <c r="O39" s="2"/>
      <c r="P39" s="146" t="s">
        <v>51</v>
      </c>
      <c r="Q39" s="18">
        <v>8.8000000000000007</v>
      </c>
      <c r="R39" s="19">
        <v>18.2</v>
      </c>
      <c r="S39" s="20">
        <v>15.9</v>
      </c>
      <c r="T39" s="263">
        <f t="shared" ref="T39:T46" si="7">SUM(Q39:S39)</f>
        <v>42.9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51.5</v>
      </c>
      <c r="C40" s="19">
        <v>57.6</v>
      </c>
      <c r="D40" s="19">
        <v>49.1</v>
      </c>
      <c r="E40" s="19">
        <v>35.5</v>
      </c>
      <c r="F40" s="19">
        <v>21.2</v>
      </c>
      <c r="G40" s="19">
        <v>47</v>
      </c>
      <c r="H40" s="19">
        <v>97.7</v>
      </c>
      <c r="I40" s="20">
        <v>49.8</v>
      </c>
      <c r="J40" s="98">
        <f t="shared" si="6"/>
        <v>409.4</v>
      </c>
      <c r="K40" s="309"/>
      <c r="L40" s="42"/>
      <c r="M40" s="42"/>
      <c r="N40" s="42"/>
      <c r="O40" s="2"/>
      <c r="P40" s="146" t="s">
        <v>24</v>
      </c>
      <c r="Q40" s="18">
        <v>8.8000000000000007</v>
      </c>
      <c r="R40" s="19">
        <v>18.2</v>
      </c>
      <c r="S40" s="20">
        <v>15.9</v>
      </c>
      <c r="T40" s="98">
        <f t="shared" si="7"/>
        <v>42.9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53.1</v>
      </c>
      <c r="C41" s="19">
        <v>59.4</v>
      </c>
      <c r="D41" s="19">
        <v>50.9</v>
      </c>
      <c r="E41" s="19">
        <v>38.4</v>
      </c>
      <c r="F41" s="19">
        <v>22.2</v>
      </c>
      <c r="G41" s="19">
        <v>48.4</v>
      </c>
      <c r="H41" s="19">
        <v>101.3</v>
      </c>
      <c r="I41" s="20">
        <v>51.8</v>
      </c>
      <c r="J41" s="98">
        <f t="shared" si="6"/>
        <v>425.5</v>
      </c>
      <c r="K41" s="49"/>
      <c r="L41" s="196"/>
      <c r="M41" s="196"/>
      <c r="N41" s="196"/>
      <c r="O41" s="2"/>
      <c r="P41" s="146" t="s">
        <v>20</v>
      </c>
      <c r="Q41" s="18">
        <v>9.1999999999999993</v>
      </c>
      <c r="R41" s="19">
        <v>19</v>
      </c>
      <c r="S41" s="20">
        <v>16.600000000000001</v>
      </c>
      <c r="T41" s="98">
        <f t="shared" si="7"/>
        <v>44.8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53.2</v>
      </c>
      <c r="C42" s="19">
        <v>59.4</v>
      </c>
      <c r="D42" s="19">
        <v>50.9</v>
      </c>
      <c r="E42" s="19">
        <v>38.4</v>
      </c>
      <c r="F42" s="19">
        <v>22.2</v>
      </c>
      <c r="G42" s="19">
        <v>48.4</v>
      </c>
      <c r="H42" s="19">
        <v>101.3</v>
      </c>
      <c r="I42" s="20">
        <v>51.8</v>
      </c>
      <c r="J42" s="98">
        <f t="shared" si="6"/>
        <v>425.6</v>
      </c>
      <c r="K42" s="49"/>
      <c r="L42" s="2"/>
      <c r="M42" s="2"/>
      <c r="N42" s="2"/>
      <c r="O42" s="2"/>
      <c r="P42" s="146" t="s">
        <v>28</v>
      </c>
      <c r="Q42" s="18">
        <v>9.1999999999999993</v>
      </c>
      <c r="R42" s="19">
        <v>19</v>
      </c>
      <c r="S42" s="20">
        <v>16.600000000000001</v>
      </c>
      <c r="T42" s="98">
        <f t="shared" si="7"/>
        <v>44.8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53.2</v>
      </c>
      <c r="C43" s="19">
        <v>59.5</v>
      </c>
      <c r="D43" s="19">
        <v>50.9</v>
      </c>
      <c r="E43" s="19">
        <v>38.4</v>
      </c>
      <c r="F43" s="19">
        <v>22.2</v>
      </c>
      <c r="G43" s="19">
        <v>48.4</v>
      </c>
      <c r="H43" s="19">
        <v>101.4</v>
      </c>
      <c r="I43" s="20">
        <v>51.8</v>
      </c>
      <c r="J43" s="98">
        <f t="shared" si="6"/>
        <v>425.8</v>
      </c>
      <c r="K43" s="49"/>
      <c r="L43" s="222"/>
      <c r="M43" s="222"/>
      <c r="N43" s="222"/>
      <c r="O43" s="2"/>
      <c r="P43" s="146" t="s">
        <v>21</v>
      </c>
      <c r="Q43" s="18">
        <v>9.1999999999999993</v>
      </c>
      <c r="R43" s="19">
        <v>19</v>
      </c>
      <c r="S43" s="20">
        <v>16.600000000000001</v>
      </c>
      <c r="T43" s="98">
        <f t="shared" si="7"/>
        <v>44.8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53.2</v>
      </c>
      <c r="C44" s="19">
        <v>59.5</v>
      </c>
      <c r="D44" s="19">
        <v>50.9</v>
      </c>
      <c r="E44" s="19">
        <v>38.4</v>
      </c>
      <c r="F44" s="19">
        <v>22.2</v>
      </c>
      <c r="G44" s="19">
        <v>48.4</v>
      </c>
      <c r="H44" s="19">
        <v>101.4</v>
      </c>
      <c r="I44" s="20">
        <v>51.8</v>
      </c>
      <c r="J44" s="98">
        <f t="shared" si="6"/>
        <v>425.8</v>
      </c>
      <c r="K44" s="49"/>
      <c r="L44" s="43"/>
      <c r="M44" s="43"/>
      <c r="N44" s="43"/>
      <c r="O44" s="2"/>
      <c r="P44" s="146" t="s">
        <v>22</v>
      </c>
      <c r="Q44" s="18">
        <v>9.3000000000000007</v>
      </c>
      <c r="R44" s="19">
        <v>19</v>
      </c>
      <c r="S44" s="20">
        <v>16.600000000000001</v>
      </c>
      <c r="T44" s="98">
        <f t="shared" si="7"/>
        <v>44.900000000000006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53.2</v>
      </c>
      <c r="C45" s="19">
        <v>59.5</v>
      </c>
      <c r="D45" s="19">
        <v>51</v>
      </c>
      <c r="E45" s="19">
        <v>38.5</v>
      </c>
      <c r="F45" s="19">
        <v>22.3</v>
      </c>
      <c r="G45" s="19">
        <v>48.4</v>
      </c>
      <c r="H45" s="19">
        <v>101.4</v>
      </c>
      <c r="I45" s="20">
        <v>51.9</v>
      </c>
      <c r="J45" s="272">
        <f t="shared" si="6"/>
        <v>426.19999999999993</v>
      </c>
      <c r="K45" s="49"/>
      <c r="L45" s="41"/>
      <c r="M45" s="41"/>
      <c r="N45" s="41"/>
      <c r="O45" s="2"/>
      <c r="P45" s="146" t="s">
        <v>23</v>
      </c>
      <c r="Q45" s="18">
        <v>9.3000000000000007</v>
      </c>
      <c r="R45" s="19">
        <v>19</v>
      </c>
      <c r="S45" s="20">
        <v>16.7</v>
      </c>
      <c r="T45" s="330">
        <f t="shared" si="7"/>
        <v>45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368.9</v>
      </c>
      <c r="C46" s="120">
        <f t="shared" si="8"/>
        <v>412.5</v>
      </c>
      <c r="D46" s="120">
        <f t="shared" si="8"/>
        <v>352.8</v>
      </c>
      <c r="E46" s="120">
        <f t="shared" si="8"/>
        <v>263.10000000000002</v>
      </c>
      <c r="F46" s="120">
        <f t="shared" si="8"/>
        <v>153.5</v>
      </c>
      <c r="G46" s="120">
        <f t="shared" si="8"/>
        <v>336</v>
      </c>
      <c r="H46" s="120">
        <f t="shared" si="8"/>
        <v>702.19999999999993</v>
      </c>
      <c r="I46" s="121">
        <f t="shared" si="8"/>
        <v>358.7</v>
      </c>
      <c r="J46" s="275">
        <f t="shared" si="6"/>
        <v>2947.7</v>
      </c>
      <c r="K46" s="49"/>
      <c r="L46" s="42"/>
      <c r="M46" s="42"/>
      <c r="N46" s="42"/>
      <c r="P46" s="145" t="s">
        <v>9</v>
      </c>
      <c r="Q46" s="122">
        <f>SUM(Q39:Q45)</f>
        <v>63.8</v>
      </c>
      <c r="R46" s="120">
        <f>SUM(R39:R45)</f>
        <v>131.4</v>
      </c>
      <c r="S46" s="121">
        <f>SUM(S39:S45)</f>
        <v>114.89999999999999</v>
      </c>
      <c r="T46" s="361">
        <f t="shared" si="7"/>
        <v>310.09999999999997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122</v>
      </c>
      <c r="C47" s="24">
        <v>122.5</v>
      </c>
      <c r="D47" s="24">
        <v>126</v>
      </c>
      <c r="E47" s="24">
        <v>127</v>
      </c>
      <c r="F47" s="24">
        <v>127.5</v>
      </c>
      <c r="G47" s="24">
        <v>125</v>
      </c>
      <c r="H47" s="24">
        <v>124</v>
      </c>
      <c r="I47" s="25">
        <v>120</v>
      </c>
      <c r="J47" s="128">
        <f>+((J46/J48)/7)*1000</f>
        <v>123.81652455160246</v>
      </c>
      <c r="K47" s="50"/>
      <c r="L47" s="49"/>
      <c r="M47" s="49"/>
      <c r="N47" s="49"/>
      <c r="P47" s="453" t="s">
        <v>11</v>
      </c>
      <c r="Q47" s="23">
        <v>136</v>
      </c>
      <c r="R47" s="24">
        <v>135</v>
      </c>
      <c r="S47" s="25">
        <v>134.5</v>
      </c>
      <c r="T47" s="128">
        <f>+((T46/T48)/7)*1000</f>
        <v>135.06097560975607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481</v>
      </c>
      <c r="D48" s="27">
        <v>400</v>
      </c>
      <c r="E48" s="27">
        <v>296</v>
      </c>
      <c r="F48" s="27">
        <v>172</v>
      </c>
      <c r="G48" s="27">
        <v>384</v>
      </c>
      <c r="H48" s="27">
        <v>809</v>
      </c>
      <c r="I48" s="28">
        <v>427</v>
      </c>
      <c r="J48" s="129">
        <f>SUM(B48:I48)</f>
        <v>3401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53.185600000000001</v>
      </c>
      <c r="C49" s="31">
        <f t="shared" ref="C49:I49" si="9">((((C47*7)*C48)/1000)-(C39+C40))/5</f>
        <v>59.451499999999996</v>
      </c>
      <c r="D49" s="31">
        <f t="shared" si="9"/>
        <v>50.92</v>
      </c>
      <c r="E49" s="31">
        <f t="shared" si="9"/>
        <v>38.428800000000003</v>
      </c>
      <c r="F49" s="31">
        <f t="shared" si="9"/>
        <v>22.221999999999998</v>
      </c>
      <c r="G49" s="31">
        <f t="shared" si="9"/>
        <v>48.4</v>
      </c>
      <c r="H49" s="31">
        <f t="shared" si="9"/>
        <v>101.36240000000001</v>
      </c>
      <c r="I49" s="32">
        <f t="shared" si="9"/>
        <v>51.81600000000001</v>
      </c>
      <c r="J49" s="130">
        <f>((J46*1000)/J48)/7</f>
        <v>123.81652455160247</v>
      </c>
      <c r="K49" s="54"/>
      <c r="L49" s="54"/>
      <c r="M49" s="41"/>
      <c r="N49" s="49"/>
      <c r="P49" s="150" t="s">
        <v>13</v>
      </c>
      <c r="Q49" s="30">
        <f>((((Q47*7)*Q48)/1000)-(Q39+Q40))/5</f>
        <v>9.2367999999999988</v>
      </c>
      <c r="R49" s="31">
        <f>((((R47*7)*R48)/1000)-(R39+R40))/5</f>
        <v>18.990999999999996</v>
      </c>
      <c r="S49" s="32">
        <f>((((S47*7)*S48)/1000)-(S39+S40))/5</f>
        <v>16.6126</v>
      </c>
      <c r="T49" s="454">
        <f>((T46*1000)/T48)/7</f>
        <v>135.06097560975607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368.928</v>
      </c>
      <c r="C50" s="282">
        <f t="shared" si="10"/>
        <v>412.45749999999998</v>
      </c>
      <c r="D50" s="282">
        <f t="shared" si="10"/>
        <v>352.8</v>
      </c>
      <c r="E50" s="282">
        <f t="shared" si="10"/>
        <v>263.14400000000001</v>
      </c>
      <c r="F50" s="282">
        <f t="shared" si="10"/>
        <v>153.51</v>
      </c>
      <c r="G50" s="282">
        <f t="shared" si="10"/>
        <v>336</v>
      </c>
      <c r="H50" s="282">
        <f t="shared" si="10"/>
        <v>702.21199999999999</v>
      </c>
      <c r="I50" s="284">
        <f t="shared" si="10"/>
        <v>358.68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63.783999999999999</v>
      </c>
      <c r="R50" s="282">
        <f>((R48*R47)*7)/1000</f>
        <v>131.35499999999999</v>
      </c>
      <c r="S50" s="284">
        <f>((S48*S47)*7)/1000</f>
        <v>114.863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121.99074074074075</v>
      </c>
      <c r="C51" s="38">
        <f t="shared" si="11"/>
        <v>122.51262251262251</v>
      </c>
      <c r="D51" s="38">
        <f t="shared" si="11"/>
        <v>126</v>
      </c>
      <c r="E51" s="38">
        <f t="shared" si="11"/>
        <v>126.97876447876449</v>
      </c>
      <c r="F51" s="38">
        <f t="shared" si="11"/>
        <v>127.49169435215948</v>
      </c>
      <c r="G51" s="38">
        <f t="shared" si="11"/>
        <v>125</v>
      </c>
      <c r="H51" s="38">
        <f t="shared" si="11"/>
        <v>123.99788098181175</v>
      </c>
      <c r="I51" s="39">
        <f t="shared" si="11"/>
        <v>120.00669120107059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136.03411513859274</v>
      </c>
      <c r="R51" s="38">
        <f>+(R46/R48)/7*1000</f>
        <v>135.04624871531348</v>
      </c>
      <c r="S51" s="39">
        <f>+(S46/S48)/7*1000</f>
        <v>134.54332552693208</v>
      </c>
      <c r="T51" s="324"/>
      <c r="U51" s="42"/>
    </row>
    <row r="52" spans="1:30" ht="33.75" customHeight="1" x14ac:dyDescent="0.25">
      <c r="A52" s="41"/>
      <c r="B52" s="42">
        <f>B50-B46</f>
        <v>2.8000000000020009E-2</v>
      </c>
      <c r="C52" s="42">
        <f t="shared" ref="C52:I53" si="12">C50-C46</f>
        <v>-4.250000000001819E-2</v>
      </c>
      <c r="D52" s="42">
        <f t="shared" si="12"/>
        <v>0</v>
      </c>
      <c r="E52" s="42">
        <f t="shared" si="12"/>
        <v>4.399999999998272E-2</v>
      </c>
      <c r="F52" s="42">
        <f t="shared" si="12"/>
        <v>9.9999999999909051E-3</v>
      </c>
      <c r="G52" s="42">
        <f t="shared" si="12"/>
        <v>0</v>
      </c>
      <c r="H52" s="42">
        <f t="shared" si="12"/>
        <v>1.2000000000057298E-2</v>
      </c>
      <c r="I52" s="42">
        <f t="shared" si="12"/>
        <v>-1.999999999998181E-2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-1.5999999999998238E-2</v>
      </c>
      <c r="R52" s="42">
        <f t="shared" si="13"/>
        <v>-4.5000000000015916E-2</v>
      </c>
      <c r="S52" s="42">
        <f t="shared" si="13"/>
        <v>-3.6999999999991928E-2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-9.259259259252417E-3</v>
      </c>
      <c r="C53" s="42">
        <f t="shared" si="12"/>
        <v>1.2622512622513682E-2</v>
      </c>
      <c r="D53" s="42">
        <f t="shared" si="12"/>
        <v>0</v>
      </c>
      <c r="E53" s="42">
        <f t="shared" si="12"/>
        <v>-2.1235521235510646E-2</v>
      </c>
      <c r="F53" s="42">
        <f t="shared" si="12"/>
        <v>-8.3056478405154621E-3</v>
      </c>
      <c r="G53" s="42">
        <f t="shared" si="12"/>
        <v>0</v>
      </c>
      <c r="H53" s="42">
        <f t="shared" si="12"/>
        <v>-2.1190181882531078E-3</v>
      </c>
      <c r="I53" s="42">
        <f t="shared" si="12"/>
        <v>6.6912010705948433E-3</v>
      </c>
      <c r="K53" s="2"/>
      <c r="L53" s="2"/>
      <c r="M53" s="45"/>
      <c r="N53" s="41"/>
      <c r="O53" s="42"/>
      <c r="P53" s="42"/>
      <c r="Q53" s="42">
        <f t="shared" si="13"/>
        <v>3.4115138592738958E-2</v>
      </c>
      <c r="R53" s="42">
        <f t="shared" si="13"/>
        <v>4.6248715313481625E-2</v>
      </c>
      <c r="S53" s="42">
        <f t="shared" si="13"/>
        <v>4.3325526932079583E-2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8"/>
      <c r="P56" s="1018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7.6</v>
      </c>
      <c r="C60" s="19">
        <v>7.6</v>
      </c>
      <c r="D60" s="19">
        <v>7.6</v>
      </c>
      <c r="E60" s="19">
        <v>2.5</v>
      </c>
      <c r="F60" s="19">
        <v>7.6</v>
      </c>
      <c r="G60" s="19">
        <v>7.6</v>
      </c>
      <c r="H60" s="104">
        <v>7.6</v>
      </c>
      <c r="I60" s="266">
        <v>8</v>
      </c>
      <c r="J60" s="267">
        <v>8</v>
      </c>
      <c r="K60" s="267">
        <v>8</v>
      </c>
      <c r="L60" s="267">
        <v>2.5</v>
      </c>
      <c r="M60" s="267">
        <v>8</v>
      </c>
      <c r="N60" s="267">
        <v>8</v>
      </c>
      <c r="O60" s="474">
        <v>8</v>
      </c>
      <c r="P60" s="281">
        <v>8</v>
      </c>
      <c r="Q60" s="282">
        <v>8</v>
      </c>
      <c r="R60" s="282">
        <v>8.1999999999999993</v>
      </c>
      <c r="S60" s="282">
        <v>2.5</v>
      </c>
      <c r="T60" s="282">
        <v>8.1999999999999993</v>
      </c>
      <c r="U60" s="282">
        <v>8.1999999999999993</v>
      </c>
      <c r="V60" s="282">
        <v>8.1999999999999993</v>
      </c>
      <c r="W60" s="98">
        <f t="shared" ref="W60:W66" si="14">SUM(B60:V60)</f>
        <v>149.89999999999998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7.6</v>
      </c>
      <c r="C61" s="19">
        <v>7.6</v>
      </c>
      <c r="D61" s="19">
        <v>7.6</v>
      </c>
      <c r="E61" s="19">
        <v>2.5</v>
      </c>
      <c r="F61" s="19">
        <v>7.6</v>
      </c>
      <c r="G61" s="19">
        <v>7.6</v>
      </c>
      <c r="H61" s="104">
        <v>7.6</v>
      </c>
      <c r="I61" s="266">
        <v>8</v>
      </c>
      <c r="J61" s="267">
        <v>8</v>
      </c>
      <c r="K61" s="267">
        <v>8</v>
      </c>
      <c r="L61" s="267">
        <v>2.5</v>
      </c>
      <c r="M61" s="267">
        <v>8</v>
      </c>
      <c r="N61" s="267">
        <v>8</v>
      </c>
      <c r="O61" s="474">
        <v>8</v>
      </c>
      <c r="P61" s="281">
        <v>8</v>
      </c>
      <c r="Q61" s="282">
        <v>8</v>
      </c>
      <c r="R61" s="282">
        <v>8.1999999999999993</v>
      </c>
      <c r="S61" s="282">
        <v>2.5</v>
      </c>
      <c r="T61" s="282">
        <v>8.1999999999999993</v>
      </c>
      <c r="U61" s="282">
        <v>8.1999999999999993</v>
      </c>
      <c r="V61" s="282">
        <v>8.1999999999999993</v>
      </c>
      <c r="W61" s="98">
        <f t="shared" si="14"/>
        <v>149.89999999999998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7.9</v>
      </c>
      <c r="C62" s="19">
        <v>7.9</v>
      </c>
      <c r="D62" s="19">
        <v>7.9</v>
      </c>
      <c r="E62" s="19">
        <v>2.5</v>
      </c>
      <c r="F62" s="19">
        <v>7.8</v>
      </c>
      <c r="G62" s="19">
        <v>7.9</v>
      </c>
      <c r="H62" s="104">
        <v>7.9</v>
      </c>
      <c r="I62" s="18">
        <v>8.1999999999999993</v>
      </c>
      <c r="J62" s="19">
        <v>8.3000000000000007</v>
      </c>
      <c r="K62" s="19">
        <v>8.1999999999999993</v>
      </c>
      <c r="L62" s="19">
        <v>2.5</v>
      </c>
      <c r="M62" s="19">
        <v>8.3000000000000007</v>
      </c>
      <c r="N62" s="19">
        <v>8</v>
      </c>
      <c r="O62" s="283">
        <v>8.1999999999999993</v>
      </c>
      <c r="P62" s="281">
        <v>8.3000000000000007</v>
      </c>
      <c r="Q62" s="282">
        <v>8.1999999999999993</v>
      </c>
      <c r="R62" s="282">
        <v>8</v>
      </c>
      <c r="S62" s="282">
        <v>2.5</v>
      </c>
      <c r="T62" s="282">
        <v>8.4</v>
      </c>
      <c r="U62" s="282">
        <v>8.4</v>
      </c>
      <c r="V62" s="282">
        <v>8.4</v>
      </c>
      <c r="W62" s="98">
        <f t="shared" si="14"/>
        <v>153.70000000000002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7.9</v>
      </c>
      <c r="C63" s="19">
        <v>7.9</v>
      </c>
      <c r="D63" s="19">
        <v>7.9</v>
      </c>
      <c r="E63" s="19">
        <v>2.5</v>
      </c>
      <c r="F63" s="19">
        <v>7.8</v>
      </c>
      <c r="G63" s="19">
        <v>7.9</v>
      </c>
      <c r="H63" s="104">
        <v>7.9</v>
      </c>
      <c r="I63" s="18">
        <v>8.3000000000000007</v>
      </c>
      <c r="J63" s="19">
        <v>8.3000000000000007</v>
      </c>
      <c r="K63" s="19">
        <v>8.3000000000000007</v>
      </c>
      <c r="L63" s="19">
        <v>2.5</v>
      </c>
      <c r="M63" s="19">
        <v>8.3000000000000007</v>
      </c>
      <c r="N63" s="19">
        <v>8.1</v>
      </c>
      <c r="O63" s="283">
        <v>8.3000000000000007</v>
      </c>
      <c r="P63" s="281">
        <v>8.3000000000000007</v>
      </c>
      <c r="Q63" s="282">
        <v>8.3000000000000007</v>
      </c>
      <c r="R63" s="282">
        <v>8</v>
      </c>
      <c r="S63" s="282">
        <v>2.5</v>
      </c>
      <c r="T63" s="282">
        <v>8.4</v>
      </c>
      <c r="U63" s="282">
        <v>8.4</v>
      </c>
      <c r="V63" s="282">
        <v>8.4</v>
      </c>
      <c r="W63" s="98">
        <f t="shared" si="14"/>
        <v>154.19999999999999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2.5</v>
      </c>
      <c r="F64" s="19">
        <v>7.9</v>
      </c>
      <c r="G64" s="19">
        <v>7.9</v>
      </c>
      <c r="H64" s="104">
        <v>7.9</v>
      </c>
      <c r="I64" s="18">
        <v>8.3000000000000007</v>
      </c>
      <c r="J64" s="19">
        <v>8.3000000000000007</v>
      </c>
      <c r="K64" s="19">
        <v>8.3000000000000007</v>
      </c>
      <c r="L64" s="19">
        <v>2.5</v>
      </c>
      <c r="M64" s="19">
        <v>8.3000000000000007</v>
      </c>
      <c r="N64" s="19">
        <v>8.1</v>
      </c>
      <c r="O64" s="283">
        <v>8.3000000000000007</v>
      </c>
      <c r="P64" s="281">
        <v>8.3000000000000007</v>
      </c>
      <c r="Q64" s="282">
        <v>8.3000000000000007</v>
      </c>
      <c r="R64" s="282">
        <v>8</v>
      </c>
      <c r="S64" s="282">
        <v>2.5</v>
      </c>
      <c r="T64" s="282">
        <v>8.4</v>
      </c>
      <c r="U64" s="282">
        <v>8.4</v>
      </c>
      <c r="V64" s="282">
        <v>8.4</v>
      </c>
      <c r="W64" s="98">
        <f t="shared" si="14"/>
        <v>154.29999999999998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7.9</v>
      </c>
      <c r="C65" s="19">
        <v>7.9</v>
      </c>
      <c r="D65" s="19">
        <v>7.9</v>
      </c>
      <c r="E65" s="19">
        <v>2.5</v>
      </c>
      <c r="F65" s="19">
        <v>7.9</v>
      </c>
      <c r="G65" s="19">
        <v>7.9</v>
      </c>
      <c r="H65" s="104">
        <v>7.9</v>
      </c>
      <c r="I65" s="18">
        <v>8.3000000000000007</v>
      </c>
      <c r="J65" s="19">
        <v>8.3000000000000007</v>
      </c>
      <c r="K65" s="19">
        <v>8.3000000000000007</v>
      </c>
      <c r="L65" s="19">
        <v>2.5</v>
      </c>
      <c r="M65" s="19">
        <v>8.3000000000000007</v>
      </c>
      <c r="N65" s="19">
        <v>8.1</v>
      </c>
      <c r="O65" s="283">
        <v>8.3000000000000007</v>
      </c>
      <c r="P65" s="281">
        <v>8.3000000000000007</v>
      </c>
      <c r="Q65" s="282">
        <v>8.3000000000000007</v>
      </c>
      <c r="R65" s="282">
        <v>8</v>
      </c>
      <c r="S65" s="282">
        <v>2.5</v>
      </c>
      <c r="T65" s="282">
        <v>8.5</v>
      </c>
      <c r="U65" s="282">
        <v>8.4</v>
      </c>
      <c r="V65" s="282">
        <v>8.4</v>
      </c>
      <c r="W65" s="98">
        <f t="shared" si="14"/>
        <v>154.39999999999998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7.9</v>
      </c>
      <c r="D66" s="19">
        <v>7.9</v>
      </c>
      <c r="E66" s="19">
        <v>2.5</v>
      </c>
      <c r="F66" s="19">
        <v>7.9</v>
      </c>
      <c r="G66" s="19">
        <v>7.9</v>
      </c>
      <c r="H66" s="104">
        <v>7.9</v>
      </c>
      <c r="I66" s="18">
        <v>8.3000000000000007</v>
      </c>
      <c r="J66" s="19">
        <v>8.4</v>
      </c>
      <c r="K66" s="19">
        <v>8.3000000000000007</v>
      </c>
      <c r="L66" s="19">
        <v>2.5</v>
      </c>
      <c r="M66" s="19">
        <v>8.4</v>
      </c>
      <c r="N66" s="19">
        <v>8.1</v>
      </c>
      <c r="O66" s="283">
        <v>8.3000000000000007</v>
      </c>
      <c r="P66" s="281">
        <v>8.4</v>
      </c>
      <c r="Q66" s="282">
        <v>8.3000000000000007</v>
      </c>
      <c r="R66" s="282">
        <v>8</v>
      </c>
      <c r="S66" s="282">
        <v>2.6</v>
      </c>
      <c r="T66" s="282">
        <v>8.5</v>
      </c>
      <c r="U66" s="282">
        <v>8.4</v>
      </c>
      <c r="V66" s="282">
        <v>8.4</v>
      </c>
      <c r="W66" s="98">
        <f t="shared" si="14"/>
        <v>154.80000000000001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54.699999999999996</v>
      </c>
      <c r="C67" s="120">
        <f>SUM(C60:C66)</f>
        <v>54.699999999999996</v>
      </c>
      <c r="D67" s="120">
        <f t="shared" ref="D67:V67" si="15">SUM(D60:D66)</f>
        <v>54.699999999999996</v>
      </c>
      <c r="E67" s="120">
        <f t="shared" si="15"/>
        <v>17.5</v>
      </c>
      <c r="F67" s="120">
        <f t="shared" si="15"/>
        <v>54.5</v>
      </c>
      <c r="G67" s="120">
        <f t="shared" si="15"/>
        <v>54.699999999999996</v>
      </c>
      <c r="H67" s="268">
        <f t="shared" si="15"/>
        <v>54.699999999999996</v>
      </c>
      <c r="I67" s="122">
        <f t="shared" si="15"/>
        <v>57.399999999999991</v>
      </c>
      <c r="J67" s="120">
        <f t="shared" si="15"/>
        <v>57.6</v>
      </c>
      <c r="K67" s="120">
        <f t="shared" si="15"/>
        <v>57.399999999999991</v>
      </c>
      <c r="L67" s="120">
        <f t="shared" si="15"/>
        <v>17.5</v>
      </c>
      <c r="M67" s="120">
        <f t="shared" si="15"/>
        <v>57.6</v>
      </c>
      <c r="N67" s="120">
        <f t="shared" si="15"/>
        <v>56.400000000000006</v>
      </c>
      <c r="O67" s="121">
        <f t="shared" si="15"/>
        <v>57.399999999999991</v>
      </c>
      <c r="P67" s="122">
        <f t="shared" si="15"/>
        <v>57.6</v>
      </c>
      <c r="Q67" s="120">
        <f t="shared" si="15"/>
        <v>57.399999999999991</v>
      </c>
      <c r="R67" s="120">
        <f t="shared" si="15"/>
        <v>56.4</v>
      </c>
      <c r="S67" s="120">
        <f t="shared" si="15"/>
        <v>17.600000000000001</v>
      </c>
      <c r="T67" s="120">
        <f t="shared" si="15"/>
        <v>58.599999999999994</v>
      </c>
      <c r="U67" s="120">
        <f t="shared" si="15"/>
        <v>58.399999999999991</v>
      </c>
      <c r="V67" s="121">
        <f t="shared" si="15"/>
        <v>58.399999999999991</v>
      </c>
      <c r="W67" s="361">
        <f>SUM(W60:W66)</f>
        <v>1071.2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139.5</v>
      </c>
      <c r="C68" s="24">
        <v>139.5</v>
      </c>
      <c r="D68" s="24">
        <v>139.5</v>
      </c>
      <c r="E68" s="24">
        <v>139</v>
      </c>
      <c r="F68" s="24">
        <v>139</v>
      </c>
      <c r="G68" s="24">
        <v>139.5</v>
      </c>
      <c r="H68" s="155">
        <v>139.5</v>
      </c>
      <c r="I68" s="23">
        <v>139</v>
      </c>
      <c r="J68" s="24">
        <v>139.5</v>
      </c>
      <c r="K68" s="24">
        <v>139</v>
      </c>
      <c r="L68" s="24">
        <v>139</v>
      </c>
      <c r="M68" s="24">
        <v>139.5</v>
      </c>
      <c r="N68" s="24">
        <v>139</v>
      </c>
      <c r="O68" s="25">
        <v>139</v>
      </c>
      <c r="P68" s="23">
        <v>139.5</v>
      </c>
      <c r="Q68" s="24">
        <v>139</v>
      </c>
      <c r="R68" s="24">
        <v>139</v>
      </c>
      <c r="S68" s="24">
        <v>139.5</v>
      </c>
      <c r="T68" s="24">
        <v>139.5</v>
      </c>
      <c r="U68" s="24">
        <v>139</v>
      </c>
      <c r="V68" s="25">
        <v>139</v>
      </c>
      <c r="W68" s="99">
        <f>((W67/W69)/7)*1000</f>
        <v>139.24346808787212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59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1099</v>
      </c>
    </row>
    <row r="70" spans="1:26" ht="33.75" customHeight="1" x14ac:dyDescent="0.25">
      <c r="A70" s="150" t="s">
        <v>13</v>
      </c>
      <c r="B70" s="358">
        <f>((((B68*7)*B69)/1000)-(B60+B61))/5</f>
        <v>7.8967999999999989</v>
      </c>
      <c r="C70" s="31">
        <f t="shared" ref="C70:V70" si="16">((((C68*7)*C69)/1000)-(C60+C61))/5</f>
        <v>7.8967999999999989</v>
      </c>
      <c r="D70" s="31">
        <f t="shared" si="16"/>
        <v>7.8967999999999989</v>
      </c>
      <c r="E70" s="31">
        <f t="shared" si="16"/>
        <v>2.5027999999999997</v>
      </c>
      <c r="F70" s="31">
        <f t="shared" si="16"/>
        <v>7.8575999999999997</v>
      </c>
      <c r="G70" s="31">
        <f t="shared" si="16"/>
        <v>7.8967999999999989</v>
      </c>
      <c r="H70" s="464">
        <f t="shared" si="16"/>
        <v>7.8967999999999989</v>
      </c>
      <c r="I70" s="358">
        <f t="shared" si="16"/>
        <v>8.2813999999999997</v>
      </c>
      <c r="J70" s="31">
        <f t="shared" si="16"/>
        <v>8.3227000000000011</v>
      </c>
      <c r="K70" s="31">
        <f t="shared" si="16"/>
        <v>8.2813999999999997</v>
      </c>
      <c r="L70" s="31">
        <f t="shared" si="16"/>
        <v>2.5027999999999997</v>
      </c>
      <c r="M70" s="31">
        <f t="shared" si="16"/>
        <v>8.3227000000000011</v>
      </c>
      <c r="N70" s="31">
        <f t="shared" si="16"/>
        <v>8.0868000000000002</v>
      </c>
      <c r="O70" s="322">
        <f t="shared" si="16"/>
        <v>8.2813999999999997</v>
      </c>
      <c r="P70" s="30">
        <f t="shared" si="16"/>
        <v>8.3227000000000011</v>
      </c>
      <c r="Q70" s="31">
        <f t="shared" si="16"/>
        <v>8.2813999999999997</v>
      </c>
      <c r="R70" s="31">
        <f t="shared" si="16"/>
        <v>8.0068000000000001</v>
      </c>
      <c r="S70" s="31">
        <f t="shared" si="16"/>
        <v>2.5154000000000005</v>
      </c>
      <c r="T70" s="31">
        <f t="shared" si="16"/>
        <v>8.4380000000000006</v>
      </c>
      <c r="U70" s="31">
        <f t="shared" si="16"/>
        <v>8.3960000000000008</v>
      </c>
      <c r="V70" s="32">
        <f t="shared" si="16"/>
        <v>8.3960000000000008</v>
      </c>
      <c r="W70" s="362">
        <f>((W67*1000)/7)/W69</f>
        <v>139.24346808787209</v>
      </c>
    </row>
    <row r="71" spans="1:26" ht="33.75" customHeight="1" x14ac:dyDescent="0.25">
      <c r="A71" s="151" t="s">
        <v>14</v>
      </c>
      <c r="B71" s="281">
        <f>((B69*B68)*7)/1000</f>
        <v>54.683999999999997</v>
      </c>
      <c r="C71" s="282">
        <f>((C69*C68)*7)/1000</f>
        <v>54.683999999999997</v>
      </c>
      <c r="D71" s="282">
        <f t="shared" ref="D71:V71" si="17">((D69*D68)*7)/1000</f>
        <v>54.683999999999997</v>
      </c>
      <c r="E71" s="282">
        <f t="shared" si="17"/>
        <v>17.513999999999999</v>
      </c>
      <c r="F71" s="282">
        <f t="shared" si="17"/>
        <v>54.488</v>
      </c>
      <c r="G71" s="282">
        <f t="shared" si="17"/>
        <v>54.683999999999997</v>
      </c>
      <c r="H71" s="283">
        <f t="shared" si="17"/>
        <v>54.683999999999997</v>
      </c>
      <c r="I71" s="281">
        <f t="shared" si="17"/>
        <v>57.406999999999996</v>
      </c>
      <c r="J71" s="282">
        <f t="shared" si="17"/>
        <v>57.613500000000002</v>
      </c>
      <c r="K71" s="282">
        <f t="shared" si="17"/>
        <v>57.406999999999996</v>
      </c>
      <c r="L71" s="282">
        <f t="shared" si="17"/>
        <v>17.513999999999999</v>
      </c>
      <c r="M71" s="282">
        <f t="shared" si="17"/>
        <v>57.613500000000002</v>
      </c>
      <c r="N71" s="282">
        <f t="shared" si="17"/>
        <v>56.433999999999997</v>
      </c>
      <c r="O71" s="284">
        <f t="shared" si="17"/>
        <v>57.406999999999996</v>
      </c>
      <c r="P71" s="281">
        <f t="shared" si="17"/>
        <v>57.613500000000002</v>
      </c>
      <c r="Q71" s="282">
        <f t="shared" si="17"/>
        <v>57.406999999999996</v>
      </c>
      <c r="R71" s="282">
        <f t="shared" si="17"/>
        <v>56.433999999999997</v>
      </c>
      <c r="S71" s="282">
        <f t="shared" si="17"/>
        <v>17.577000000000002</v>
      </c>
      <c r="T71" s="282">
        <f t="shared" si="17"/>
        <v>58.59</v>
      </c>
      <c r="U71" s="282">
        <f t="shared" si="17"/>
        <v>58.38</v>
      </c>
      <c r="V71" s="284">
        <f t="shared" si="17"/>
        <v>58.38</v>
      </c>
      <c r="W71" s="36"/>
    </row>
    <row r="72" spans="1:26" ht="33.75" customHeight="1" thickBot="1" x14ac:dyDescent="0.3">
      <c r="A72" s="152" t="s">
        <v>15</v>
      </c>
      <c r="B72" s="37">
        <f>+(B67/B69)/7*1000</f>
        <v>139.54081632653063</v>
      </c>
      <c r="C72" s="38">
        <f t="shared" ref="C72:V72" si="18">+(C67/C69)/7*1000</f>
        <v>139.54081632653063</v>
      </c>
      <c r="D72" s="38">
        <f t="shared" si="18"/>
        <v>139.54081632653063</v>
      </c>
      <c r="E72" s="38">
        <f t="shared" si="18"/>
        <v>138.88888888888889</v>
      </c>
      <c r="F72" s="38">
        <f t="shared" si="18"/>
        <v>139.03061224489795</v>
      </c>
      <c r="G72" s="38">
        <f t="shared" si="18"/>
        <v>139.54081632653063</v>
      </c>
      <c r="H72" s="158">
        <f t="shared" si="18"/>
        <v>139.54081632653063</v>
      </c>
      <c r="I72" s="37">
        <f t="shared" si="18"/>
        <v>138.9830508474576</v>
      </c>
      <c r="J72" s="38">
        <f t="shared" si="18"/>
        <v>139.46731234866829</v>
      </c>
      <c r="K72" s="38">
        <f t="shared" si="18"/>
        <v>138.9830508474576</v>
      </c>
      <c r="L72" s="38">
        <f t="shared" si="18"/>
        <v>138.88888888888889</v>
      </c>
      <c r="M72" s="38">
        <f t="shared" si="18"/>
        <v>139.46731234866829</v>
      </c>
      <c r="N72" s="38">
        <f t="shared" si="18"/>
        <v>138.91625615763547</v>
      </c>
      <c r="O72" s="39">
        <f t="shared" si="18"/>
        <v>138.9830508474576</v>
      </c>
      <c r="P72" s="37">
        <f t="shared" si="18"/>
        <v>139.46731234866829</v>
      </c>
      <c r="Q72" s="38">
        <f t="shared" si="18"/>
        <v>138.9830508474576</v>
      </c>
      <c r="R72" s="38">
        <f t="shared" si="18"/>
        <v>138.91625615763544</v>
      </c>
      <c r="S72" s="38">
        <f t="shared" si="18"/>
        <v>139.6825396825397</v>
      </c>
      <c r="T72" s="38">
        <f t="shared" si="18"/>
        <v>139.52380952380952</v>
      </c>
      <c r="U72" s="38">
        <f t="shared" si="18"/>
        <v>139.04761904761904</v>
      </c>
      <c r="V72" s="39">
        <f t="shared" si="18"/>
        <v>139.04761904761904</v>
      </c>
      <c r="W72" s="40"/>
    </row>
    <row r="73" spans="1:26" ht="33.75" customHeight="1" x14ac:dyDescent="0.25">
      <c r="A73" s="41"/>
      <c r="B73" s="42">
        <f>B71-B67</f>
        <v>-1.5999999999998238E-2</v>
      </c>
      <c r="C73" s="42">
        <f t="shared" ref="C73:V74" si="19">C71-C67</f>
        <v>-1.5999999999998238E-2</v>
      </c>
      <c r="D73" s="42">
        <f t="shared" si="19"/>
        <v>-1.5999999999998238E-2</v>
      </c>
      <c r="E73" s="42">
        <f t="shared" si="19"/>
        <v>1.3999999999999346E-2</v>
      </c>
      <c r="F73" s="42">
        <f t="shared" si="19"/>
        <v>-1.2000000000000455E-2</v>
      </c>
      <c r="G73" s="42">
        <f t="shared" si="19"/>
        <v>-1.5999999999998238E-2</v>
      </c>
      <c r="H73" s="42">
        <f t="shared" si="19"/>
        <v>-1.5999999999998238E-2</v>
      </c>
      <c r="I73" s="42">
        <f t="shared" si="19"/>
        <v>7.0000000000050022E-3</v>
      </c>
      <c r="J73" s="42">
        <f t="shared" si="19"/>
        <v>1.3500000000000512E-2</v>
      </c>
      <c r="K73" s="42">
        <f t="shared" si="19"/>
        <v>7.0000000000050022E-3</v>
      </c>
      <c r="L73" s="42">
        <f t="shared" si="19"/>
        <v>1.3999999999999346E-2</v>
      </c>
      <c r="M73" s="42">
        <f t="shared" si="19"/>
        <v>1.3500000000000512E-2</v>
      </c>
      <c r="N73" s="42">
        <f t="shared" si="19"/>
        <v>3.3999999999991815E-2</v>
      </c>
      <c r="O73" s="42">
        <f t="shared" si="19"/>
        <v>7.0000000000050022E-3</v>
      </c>
      <c r="P73" s="42">
        <f t="shared" si="19"/>
        <v>1.3500000000000512E-2</v>
      </c>
      <c r="Q73" s="42">
        <f t="shared" si="19"/>
        <v>7.0000000000050022E-3</v>
      </c>
      <c r="R73" s="42">
        <f t="shared" si="19"/>
        <v>3.399999999999892E-2</v>
      </c>
      <c r="S73" s="42">
        <f t="shared" si="19"/>
        <v>-2.2999999999999687E-2</v>
      </c>
      <c r="T73" s="42">
        <f t="shared" si="19"/>
        <v>-9.9999999999909051E-3</v>
      </c>
      <c r="U73" s="42">
        <f t="shared" si="19"/>
        <v>-1.9999999999988916E-2</v>
      </c>
      <c r="V73" s="42">
        <f t="shared" si="19"/>
        <v>-1.9999999999988916E-2</v>
      </c>
      <c r="W73" s="42"/>
      <c r="X73" s="42"/>
    </row>
    <row r="74" spans="1:26" ht="33.75" customHeight="1" x14ac:dyDescent="0.25">
      <c r="A74" s="41"/>
      <c r="B74" s="42">
        <f>B72-B68</f>
        <v>4.0816326530631386E-2</v>
      </c>
      <c r="C74" s="42">
        <f t="shared" si="19"/>
        <v>4.0816326530631386E-2</v>
      </c>
      <c r="D74" s="42">
        <f t="shared" si="19"/>
        <v>4.0816326530631386E-2</v>
      </c>
      <c r="E74" s="42">
        <f t="shared" si="19"/>
        <v>-0.11111111111111427</v>
      </c>
      <c r="F74" s="42">
        <f t="shared" si="19"/>
        <v>3.0612244897952223E-2</v>
      </c>
      <c r="G74" s="42">
        <f t="shared" si="19"/>
        <v>4.0816326530631386E-2</v>
      </c>
      <c r="H74" s="42">
        <f t="shared" si="19"/>
        <v>4.0816326530631386E-2</v>
      </c>
      <c r="I74" s="42">
        <f t="shared" si="19"/>
        <v>-1.6949152542395041E-2</v>
      </c>
      <c r="J74" s="42">
        <f t="shared" si="19"/>
        <v>-3.2687651331713141E-2</v>
      </c>
      <c r="K74" s="42">
        <f t="shared" si="19"/>
        <v>-1.6949152542395041E-2</v>
      </c>
      <c r="L74" s="42">
        <f t="shared" si="19"/>
        <v>-0.11111111111111427</v>
      </c>
      <c r="M74" s="42">
        <f t="shared" si="19"/>
        <v>-3.2687651331713141E-2</v>
      </c>
      <c r="N74" s="42">
        <f t="shared" si="19"/>
        <v>-8.3743842364526699E-2</v>
      </c>
      <c r="O74" s="42">
        <f t="shared" si="19"/>
        <v>-1.6949152542395041E-2</v>
      </c>
      <c r="P74" s="42">
        <f t="shared" si="19"/>
        <v>-3.2687651331713141E-2</v>
      </c>
      <c r="Q74" s="42">
        <f>Q72-Q68</f>
        <v>-1.6949152542395041E-2</v>
      </c>
      <c r="R74" s="42">
        <f t="shared" si="19"/>
        <v>-8.3743842364555121E-2</v>
      </c>
      <c r="S74" s="42">
        <f t="shared" si="19"/>
        <v>0.18253968253969788</v>
      </c>
      <c r="T74" s="42">
        <f t="shared" si="19"/>
        <v>2.3809523809518396E-2</v>
      </c>
      <c r="U74" s="42">
        <f t="shared" si="19"/>
        <v>4.7619047619036792E-2</v>
      </c>
      <c r="V74" s="42">
        <f t="shared" si="19"/>
        <v>4.7619047619036792E-2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J36"/>
    <mergeCell ref="Q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39"/>
  <dimension ref="A1:AE244"/>
  <sheetViews>
    <sheetView zoomScale="40" zoomScaleNormal="40" workbookViewId="0">
      <selection activeCell="B69" sqref="B69:V6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25</v>
      </c>
      <c r="Q11" s="1022"/>
      <c r="R11" s="6"/>
      <c r="S11" s="1" t="s">
        <v>6</v>
      </c>
      <c r="T11" s="95">
        <v>45546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75.400000000000006</v>
      </c>
      <c r="C18" s="125">
        <v>75.900000000000006</v>
      </c>
      <c r="D18" s="125">
        <v>76.5</v>
      </c>
      <c r="E18" s="125">
        <v>24.4</v>
      </c>
      <c r="F18" s="125">
        <v>74.599999999999994</v>
      </c>
      <c r="G18" s="125">
        <v>75.5</v>
      </c>
      <c r="H18" s="141">
        <v>74.099999999999994</v>
      </c>
      <c r="I18" s="181">
        <v>78.3</v>
      </c>
      <c r="J18" s="125">
        <v>79.5</v>
      </c>
      <c r="K18" s="125">
        <v>78.5</v>
      </c>
      <c r="L18" s="125">
        <v>23.3</v>
      </c>
      <c r="M18" s="125">
        <v>77.599999999999994</v>
      </c>
      <c r="N18" s="125">
        <v>75.5</v>
      </c>
      <c r="O18" s="355">
        <v>74.7</v>
      </c>
      <c r="P18" s="281">
        <v>80.2</v>
      </c>
      <c r="Q18" s="282">
        <v>80.599999999999994</v>
      </c>
      <c r="R18" s="282">
        <v>80.7</v>
      </c>
      <c r="S18" s="282">
        <v>24.8</v>
      </c>
      <c r="T18" s="282">
        <v>80.400000000000006</v>
      </c>
      <c r="U18" s="282">
        <v>78.900000000000006</v>
      </c>
      <c r="V18" s="284">
        <v>76.599999999999994</v>
      </c>
      <c r="W18" s="98">
        <f t="shared" ref="W18:W24" si="0">SUM(B18:V18)</f>
        <v>1466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75.400000000000006</v>
      </c>
      <c r="C19" s="19">
        <v>75.900000000000006</v>
      </c>
      <c r="D19" s="19">
        <v>76.5</v>
      </c>
      <c r="E19" s="19">
        <v>24.4</v>
      </c>
      <c r="F19" s="19">
        <v>74.599999999999994</v>
      </c>
      <c r="G19" s="19">
        <v>75.5</v>
      </c>
      <c r="H19" s="20">
        <v>74.099999999999994</v>
      </c>
      <c r="I19" s="61">
        <v>78.3</v>
      </c>
      <c r="J19" s="19">
        <v>79.5</v>
      </c>
      <c r="K19" s="19">
        <v>78.5</v>
      </c>
      <c r="L19" s="19">
        <v>23.3</v>
      </c>
      <c r="M19" s="19">
        <v>77.599999999999994</v>
      </c>
      <c r="N19" s="19">
        <v>75.5</v>
      </c>
      <c r="O19" s="284">
        <v>74.7</v>
      </c>
      <c r="P19" s="281">
        <v>80.2</v>
      </c>
      <c r="Q19" s="282">
        <v>80.599999999999994</v>
      </c>
      <c r="R19" s="282">
        <v>80.7</v>
      </c>
      <c r="S19" s="282">
        <v>24.8</v>
      </c>
      <c r="T19" s="282">
        <v>80.400000000000006</v>
      </c>
      <c r="U19" s="282">
        <v>78.900000000000006</v>
      </c>
      <c r="V19" s="284">
        <v>76.599999999999994</v>
      </c>
      <c r="W19" s="98">
        <f t="shared" si="0"/>
        <v>1466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77</v>
      </c>
      <c r="C20" s="19">
        <v>76.8</v>
      </c>
      <c r="D20" s="19">
        <v>76.099999999999994</v>
      </c>
      <c r="E20" s="19">
        <v>23.5</v>
      </c>
      <c r="F20" s="19">
        <v>76</v>
      </c>
      <c r="G20" s="19">
        <v>77.099999999999994</v>
      </c>
      <c r="H20" s="20">
        <v>75.2</v>
      </c>
      <c r="I20" s="61">
        <v>79.599999999999994</v>
      </c>
      <c r="J20" s="19">
        <v>78.5</v>
      </c>
      <c r="K20" s="19">
        <v>79.7</v>
      </c>
      <c r="L20" s="19">
        <v>23</v>
      </c>
      <c r="M20" s="19">
        <v>79.7</v>
      </c>
      <c r="N20" s="19">
        <v>77.7</v>
      </c>
      <c r="O20" s="284">
        <v>76.2</v>
      </c>
      <c r="P20" s="281">
        <v>81.599999999999994</v>
      </c>
      <c r="Q20" s="282">
        <v>81.7</v>
      </c>
      <c r="R20" s="282">
        <v>82.2</v>
      </c>
      <c r="S20" s="282">
        <v>25.2</v>
      </c>
      <c r="T20" s="282">
        <v>82.9</v>
      </c>
      <c r="U20" s="282">
        <v>80.2</v>
      </c>
      <c r="V20" s="284">
        <v>78.7</v>
      </c>
      <c r="W20" s="98">
        <f t="shared" si="0"/>
        <v>1488.6000000000004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77</v>
      </c>
      <c r="C21" s="19">
        <v>76.8</v>
      </c>
      <c r="D21" s="19">
        <v>76.2</v>
      </c>
      <c r="E21" s="19">
        <v>23.6</v>
      </c>
      <c r="F21" s="19">
        <v>76</v>
      </c>
      <c r="G21" s="19">
        <v>77.2</v>
      </c>
      <c r="H21" s="20">
        <v>75.2</v>
      </c>
      <c r="I21" s="61">
        <v>79.7</v>
      </c>
      <c r="J21" s="19">
        <v>78.5</v>
      </c>
      <c r="K21" s="19">
        <v>79.8</v>
      </c>
      <c r="L21" s="19">
        <v>23</v>
      </c>
      <c r="M21" s="19">
        <v>79.7</v>
      </c>
      <c r="N21" s="19">
        <v>77.8</v>
      </c>
      <c r="O21" s="284">
        <v>76.3</v>
      </c>
      <c r="P21" s="281">
        <v>81.7</v>
      </c>
      <c r="Q21" s="282">
        <v>81.7</v>
      </c>
      <c r="R21" s="282">
        <v>82.2</v>
      </c>
      <c r="S21" s="282">
        <v>25.2</v>
      </c>
      <c r="T21" s="282">
        <v>82.9</v>
      </c>
      <c r="U21" s="282">
        <v>80.2</v>
      </c>
      <c r="V21" s="284">
        <v>78.7</v>
      </c>
      <c r="W21" s="98">
        <f t="shared" si="0"/>
        <v>1489.4000000000003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77</v>
      </c>
      <c r="C22" s="19">
        <v>76.8</v>
      </c>
      <c r="D22" s="19">
        <v>76.2</v>
      </c>
      <c r="E22" s="19">
        <v>23.6</v>
      </c>
      <c r="F22" s="19">
        <v>76.099999999999994</v>
      </c>
      <c r="G22" s="19">
        <v>77.2</v>
      </c>
      <c r="H22" s="20">
        <v>75.3</v>
      </c>
      <c r="I22" s="61">
        <v>79.7</v>
      </c>
      <c r="J22" s="19">
        <v>78.599999999999994</v>
      </c>
      <c r="K22" s="19">
        <v>79.8</v>
      </c>
      <c r="L22" s="19">
        <v>23.1</v>
      </c>
      <c r="M22" s="19">
        <v>79.7</v>
      </c>
      <c r="N22" s="19">
        <v>77.8</v>
      </c>
      <c r="O22" s="284">
        <v>76.3</v>
      </c>
      <c r="P22" s="281">
        <v>81.7</v>
      </c>
      <c r="Q22" s="282">
        <v>81.7</v>
      </c>
      <c r="R22" s="282">
        <v>82.2</v>
      </c>
      <c r="S22" s="282">
        <v>25.2</v>
      </c>
      <c r="T22" s="282">
        <v>82.9</v>
      </c>
      <c r="U22" s="282">
        <v>80.3</v>
      </c>
      <c r="V22" s="284">
        <v>78.7</v>
      </c>
      <c r="W22" s="98">
        <f t="shared" si="0"/>
        <v>1489.9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77.099999999999994</v>
      </c>
      <c r="C23" s="19">
        <v>76.900000000000006</v>
      </c>
      <c r="D23" s="19">
        <v>76.2</v>
      </c>
      <c r="E23" s="19">
        <v>23.6</v>
      </c>
      <c r="F23" s="19">
        <v>76.099999999999994</v>
      </c>
      <c r="G23" s="19">
        <v>77.2</v>
      </c>
      <c r="H23" s="20">
        <v>75.3</v>
      </c>
      <c r="I23" s="61">
        <v>79.7</v>
      </c>
      <c r="J23" s="19">
        <v>78.599999999999994</v>
      </c>
      <c r="K23" s="19">
        <v>79.8</v>
      </c>
      <c r="L23" s="19">
        <v>23.1</v>
      </c>
      <c r="M23" s="19">
        <v>79.7</v>
      </c>
      <c r="N23" s="19">
        <v>77.8</v>
      </c>
      <c r="O23" s="284">
        <v>76.3</v>
      </c>
      <c r="P23" s="281">
        <v>81.7</v>
      </c>
      <c r="Q23" s="282">
        <v>81.7</v>
      </c>
      <c r="R23" s="282">
        <v>82.3</v>
      </c>
      <c r="S23" s="282">
        <v>25.3</v>
      </c>
      <c r="T23" s="282">
        <v>82.9</v>
      </c>
      <c r="U23" s="282">
        <v>80.3</v>
      </c>
      <c r="V23" s="284">
        <v>78.8</v>
      </c>
      <c r="W23" s="98">
        <f t="shared" si="0"/>
        <v>1490.3999999999999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77.099999999999994</v>
      </c>
      <c r="C24" s="227">
        <v>76.900000000000006</v>
      </c>
      <c r="D24" s="227">
        <v>76.2</v>
      </c>
      <c r="E24" s="227">
        <v>23.6</v>
      </c>
      <c r="F24" s="227">
        <v>76.099999999999994</v>
      </c>
      <c r="G24" s="227">
        <v>77.2</v>
      </c>
      <c r="H24" s="228">
        <v>75.3</v>
      </c>
      <c r="I24" s="332">
        <v>79.7</v>
      </c>
      <c r="J24" s="227">
        <v>78.599999999999994</v>
      </c>
      <c r="K24" s="227">
        <v>79.8</v>
      </c>
      <c r="L24" s="227">
        <v>23.1</v>
      </c>
      <c r="M24" s="227">
        <v>79.7</v>
      </c>
      <c r="N24" s="227">
        <v>77.8</v>
      </c>
      <c r="O24" s="39">
        <v>76.3</v>
      </c>
      <c r="P24" s="281">
        <v>81.7</v>
      </c>
      <c r="Q24" s="282">
        <v>81.7</v>
      </c>
      <c r="R24" s="282">
        <v>82.3</v>
      </c>
      <c r="S24" s="282">
        <v>25.3</v>
      </c>
      <c r="T24" s="282">
        <v>82.9</v>
      </c>
      <c r="U24" s="282">
        <v>80.3</v>
      </c>
      <c r="V24" s="284">
        <v>78.8</v>
      </c>
      <c r="W24" s="98">
        <f t="shared" si="0"/>
        <v>1490.3999999999999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536</v>
      </c>
      <c r="C25" s="201">
        <f>SUM(C18:C24)</f>
        <v>536</v>
      </c>
      <c r="D25" s="201">
        <f t="shared" ref="D25:V25" si="1">SUM(D18:D24)</f>
        <v>533.9</v>
      </c>
      <c r="E25" s="201">
        <f t="shared" si="1"/>
        <v>166.7</v>
      </c>
      <c r="F25" s="201">
        <f t="shared" si="1"/>
        <v>529.5</v>
      </c>
      <c r="G25" s="201">
        <f t="shared" si="1"/>
        <v>536.9</v>
      </c>
      <c r="H25" s="229">
        <f t="shared" si="1"/>
        <v>524.5</v>
      </c>
      <c r="I25" s="225">
        <f t="shared" si="1"/>
        <v>555</v>
      </c>
      <c r="J25" s="201">
        <f t="shared" si="1"/>
        <v>551.80000000000007</v>
      </c>
      <c r="K25" s="201">
        <f t="shared" si="1"/>
        <v>555.9</v>
      </c>
      <c r="L25" s="201">
        <f t="shared" si="1"/>
        <v>161.89999999999998</v>
      </c>
      <c r="M25" s="201">
        <f t="shared" si="1"/>
        <v>553.69999999999993</v>
      </c>
      <c r="N25" s="201">
        <f t="shared" si="1"/>
        <v>539.9</v>
      </c>
      <c r="O25" s="229">
        <f t="shared" si="1"/>
        <v>530.80000000000007</v>
      </c>
      <c r="P25" s="122">
        <f t="shared" si="1"/>
        <v>568.79999999999995</v>
      </c>
      <c r="Q25" s="120">
        <f t="shared" si="1"/>
        <v>569.69999999999993</v>
      </c>
      <c r="R25" s="120">
        <f t="shared" si="1"/>
        <v>572.6</v>
      </c>
      <c r="S25" s="120">
        <f t="shared" si="1"/>
        <v>175.8</v>
      </c>
      <c r="T25" s="120">
        <f t="shared" si="1"/>
        <v>575.29999999999995</v>
      </c>
      <c r="U25" s="120">
        <f t="shared" si="1"/>
        <v>559.1</v>
      </c>
      <c r="V25" s="121">
        <f t="shared" si="1"/>
        <v>546.9</v>
      </c>
      <c r="W25" s="361">
        <f>SUM(W18:W24)</f>
        <v>10380.700000000001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130</v>
      </c>
      <c r="C26" s="24">
        <v>130</v>
      </c>
      <c r="D26" s="24">
        <v>131.5</v>
      </c>
      <c r="E26" s="24">
        <v>128</v>
      </c>
      <c r="F26" s="24">
        <v>128</v>
      </c>
      <c r="G26" s="24">
        <v>130</v>
      </c>
      <c r="H26" s="155">
        <v>127</v>
      </c>
      <c r="I26" s="23">
        <v>128.5</v>
      </c>
      <c r="J26" s="24">
        <v>130.5</v>
      </c>
      <c r="K26" s="24">
        <v>128.5</v>
      </c>
      <c r="L26" s="24">
        <v>125</v>
      </c>
      <c r="M26" s="24">
        <v>128</v>
      </c>
      <c r="N26" s="24">
        <v>125</v>
      </c>
      <c r="O26" s="155">
        <v>122.5</v>
      </c>
      <c r="P26" s="23">
        <v>130</v>
      </c>
      <c r="Q26" s="24">
        <v>130</v>
      </c>
      <c r="R26" s="24">
        <v>131.5</v>
      </c>
      <c r="S26" s="24">
        <v>131.5</v>
      </c>
      <c r="T26" s="24">
        <v>131.5</v>
      </c>
      <c r="U26" s="24">
        <v>128</v>
      </c>
      <c r="V26" s="25">
        <v>125</v>
      </c>
      <c r="W26" s="99">
        <f>((W25/W27)/7)*1000</f>
        <v>128.60611767037923</v>
      </c>
    </row>
    <row r="27" spans="1:31" s="2" customFormat="1" ht="33" customHeight="1" x14ac:dyDescent="0.25">
      <c r="A27" s="149" t="s">
        <v>12</v>
      </c>
      <c r="B27" s="26">
        <v>589</v>
      </c>
      <c r="C27" s="27">
        <v>589</v>
      </c>
      <c r="D27" s="27">
        <v>580</v>
      </c>
      <c r="E27" s="27">
        <v>186</v>
      </c>
      <c r="F27" s="27">
        <v>591</v>
      </c>
      <c r="G27" s="27">
        <v>590</v>
      </c>
      <c r="H27" s="156">
        <v>590</v>
      </c>
      <c r="I27" s="26">
        <v>617</v>
      </c>
      <c r="J27" s="27">
        <v>604</v>
      </c>
      <c r="K27" s="27">
        <v>618</v>
      </c>
      <c r="L27" s="27">
        <v>185</v>
      </c>
      <c r="M27" s="27">
        <v>618</v>
      </c>
      <c r="N27" s="27">
        <v>617</v>
      </c>
      <c r="O27" s="156">
        <v>619</v>
      </c>
      <c r="P27" s="26">
        <v>625</v>
      </c>
      <c r="Q27" s="27">
        <v>626</v>
      </c>
      <c r="R27" s="27">
        <v>622</v>
      </c>
      <c r="S27" s="27">
        <v>191</v>
      </c>
      <c r="T27" s="27">
        <v>625</v>
      </c>
      <c r="U27" s="27">
        <v>624</v>
      </c>
      <c r="V27" s="28">
        <v>625</v>
      </c>
      <c r="W27" s="29">
        <f>SUM(B27:V27)</f>
        <v>11531</v>
      </c>
    </row>
    <row r="28" spans="1:31" s="2" customFormat="1" ht="33" customHeight="1" x14ac:dyDescent="0.25">
      <c r="A28" s="150" t="s">
        <v>13</v>
      </c>
      <c r="B28" s="358">
        <f>((((B26*7)*B27)/1000)-(B18+B19))/5</f>
        <v>77.037999999999997</v>
      </c>
      <c r="C28" s="31">
        <f t="shared" ref="C28:V28" si="2">((((C26*7)*C27)/1000)-(C18+C19))/5</f>
        <v>76.837999999999994</v>
      </c>
      <c r="D28" s="31">
        <f t="shared" si="2"/>
        <v>76.177999999999997</v>
      </c>
      <c r="E28" s="31">
        <f t="shared" si="2"/>
        <v>23.571200000000001</v>
      </c>
      <c r="F28" s="31">
        <f t="shared" si="2"/>
        <v>76.067199999999985</v>
      </c>
      <c r="G28" s="31">
        <f t="shared" si="2"/>
        <v>77.179999999999993</v>
      </c>
      <c r="H28" s="464">
        <f t="shared" si="2"/>
        <v>75.262</v>
      </c>
      <c r="I28" s="358">
        <f t="shared" si="2"/>
        <v>79.678299999999993</v>
      </c>
      <c r="J28" s="31">
        <f t="shared" si="2"/>
        <v>78.55080000000001</v>
      </c>
      <c r="K28" s="31">
        <f t="shared" si="2"/>
        <v>79.778199999999998</v>
      </c>
      <c r="L28" s="31">
        <f t="shared" si="2"/>
        <v>23.055</v>
      </c>
      <c r="M28" s="31">
        <f t="shared" si="2"/>
        <v>79.70559999999999</v>
      </c>
      <c r="N28" s="31">
        <f t="shared" si="2"/>
        <v>77.775000000000006</v>
      </c>
      <c r="O28" s="464">
        <f t="shared" si="2"/>
        <v>76.278500000000008</v>
      </c>
      <c r="P28" s="30">
        <f t="shared" si="2"/>
        <v>81.67</v>
      </c>
      <c r="Q28" s="31">
        <f t="shared" si="2"/>
        <v>81.691999999999993</v>
      </c>
      <c r="R28" s="31">
        <f t="shared" si="2"/>
        <v>82.230200000000011</v>
      </c>
      <c r="S28" s="31">
        <f t="shared" si="2"/>
        <v>25.243099999999998</v>
      </c>
      <c r="T28" s="31">
        <f t="shared" si="2"/>
        <v>82.902500000000003</v>
      </c>
      <c r="U28" s="31">
        <f t="shared" si="2"/>
        <v>80.260800000000003</v>
      </c>
      <c r="V28" s="32">
        <f t="shared" si="2"/>
        <v>78.734999999999999</v>
      </c>
      <c r="W28" s="362">
        <f>((W25*1000)/7)/W27</f>
        <v>128.60611767037923</v>
      </c>
    </row>
    <row r="29" spans="1:31" ht="33.75" customHeight="1" x14ac:dyDescent="0.25">
      <c r="A29" s="151" t="s">
        <v>14</v>
      </c>
      <c r="B29" s="281">
        <f>((B27*B26)*7)/1000</f>
        <v>535.99</v>
      </c>
      <c r="C29" s="282">
        <f>((C27*C26)*7)/1000</f>
        <v>535.99</v>
      </c>
      <c r="D29" s="282">
        <f t="shared" ref="D29:V29" si="3">((D27*D26)*7)/1000</f>
        <v>533.89</v>
      </c>
      <c r="E29" s="282">
        <f t="shared" si="3"/>
        <v>166.65600000000001</v>
      </c>
      <c r="F29" s="282">
        <f t="shared" si="3"/>
        <v>529.53599999999994</v>
      </c>
      <c r="G29" s="282">
        <f t="shared" si="3"/>
        <v>536.9</v>
      </c>
      <c r="H29" s="283">
        <f t="shared" si="3"/>
        <v>524.51</v>
      </c>
      <c r="I29" s="281">
        <f t="shared" si="3"/>
        <v>554.99149999999997</v>
      </c>
      <c r="J29" s="282">
        <f t="shared" si="3"/>
        <v>551.75400000000002</v>
      </c>
      <c r="K29" s="282">
        <f t="shared" si="3"/>
        <v>555.89099999999996</v>
      </c>
      <c r="L29" s="282">
        <f t="shared" si="3"/>
        <v>161.875</v>
      </c>
      <c r="M29" s="282">
        <f t="shared" si="3"/>
        <v>553.72799999999995</v>
      </c>
      <c r="N29" s="282">
        <f t="shared" si="3"/>
        <v>539.875</v>
      </c>
      <c r="O29" s="283">
        <f t="shared" si="3"/>
        <v>530.79250000000002</v>
      </c>
      <c r="P29" s="281">
        <f t="shared" si="3"/>
        <v>568.75</v>
      </c>
      <c r="Q29" s="282">
        <f t="shared" si="3"/>
        <v>569.66</v>
      </c>
      <c r="R29" s="282">
        <f t="shared" si="3"/>
        <v>572.55100000000004</v>
      </c>
      <c r="S29" s="282">
        <f t="shared" si="3"/>
        <v>175.81549999999999</v>
      </c>
      <c r="T29" s="282">
        <f t="shared" si="3"/>
        <v>575.3125</v>
      </c>
      <c r="U29" s="282">
        <f t="shared" si="3"/>
        <v>559.10400000000004</v>
      </c>
      <c r="V29" s="284">
        <f t="shared" si="3"/>
        <v>546.875</v>
      </c>
      <c r="W29" s="36"/>
    </row>
    <row r="30" spans="1:31" ht="33.75" customHeight="1" thickBot="1" x14ac:dyDescent="0.3">
      <c r="A30" s="152" t="s">
        <v>15</v>
      </c>
      <c r="B30" s="37">
        <f>+(B25/B27)/7*1000</f>
        <v>130.00242541838466</v>
      </c>
      <c r="C30" s="38">
        <f t="shared" ref="C30:V30" si="4">+(C25/C27)/7*1000</f>
        <v>130.00242541838466</v>
      </c>
      <c r="D30" s="38">
        <f t="shared" si="4"/>
        <v>131.50246305418719</v>
      </c>
      <c r="E30" s="38">
        <f t="shared" si="4"/>
        <v>128.03379416282641</v>
      </c>
      <c r="F30" s="38">
        <f t="shared" si="4"/>
        <v>127.99129804205947</v>
      </c>
      <c r="G30" s="38">
        <f t="shared" si="4"/>
        <v>129.99999999999997</v>
      </c>
      <c r="H30" s="158">
        <f t="shared" si="4"/>
        <v>126.99757869249395</v>
      </c>
      <c r="I30" s="37">
        <f t="shared" si="4"/>
        <v>128.50196804815931</v>
      </c>
      <c r="J30" s="38">
        <f t="shared" si="4"/>
        <v>130.51087984862821</v>
      </c>
      <c r="K30" s="38">
        <f t="shared" si="4"/>
        <v>128.50208044382802</v>
      </c>
      <c r="L30" s="38">
        <f t="shared" si="4"/>
        <v>125.01930501930499</v>
      </c>
      <c r="M30" s="38">
        <f t="shared" si="4"/>
        <v>127.99352750809059</v>
      </c>
      <c r="N30" s="38">
        <f t="shared" si="4"/>
        <v>125.00578837693909</v>
      </c>
      <c r="O30" s="158">
        <f t="shared" si="4"/>
        <v>122.50173090237712</v>
      </c>
      <c r="P30" s="37">
        <f t="shared" si="4"/>
        <v>130.01142857142855</v>
      </c>
      <c r="Q30" s="38">
        <f t="shared" si="4"/>
        <v>130.00912825193976</v>
      </c>
      <c r="R30" s="38">
        <f t="shared" si="4"/>
        <v>131.51125401929261</v>
      </c>
      <c r="S30" s="38">
        <f t="shared" si="4"/>
        <v>131.48840688107705</v>
      </c>
      <c r="T30" s="38">
        <f t="shared" si="4"/>
        <v>131.49714285714285</v>
      </c>
      <c r="U30" s="38">
        <f t="shared" si="4"/>
        <v>127.99908424908426</v>
      </c>
      <c r="V30" s="39">
        <f t="shared" si="4"/>
        <v>125.00571428571428</v>
      </c>
      <c r="W30" s="40"/>
    </row>
    <row r="31" spans="1:31" ht="33.75" customHeight="1" x14ac:dyDescent="0.25">
      <c r="A31" s="41"/>
      <c r="B31" s="42">
        <f>B29-B25</f>
        <v>-9.9999999999909051E-3</v>
      </c>
      <c r="C31" s="42">
        <f t="shared" ref="C31:V32" si="5">C29-C25</f>
        <v>-9.9999999999909051E-3</v>
      </c>
      <c r="D31" s="42">
        <f t="shared" si="5"/>
        <v>-9.9999999999909051E-3</v>
      </c>
      <c r="E31" s="42">
        <f t="shared" si="5"/>
        <v>-4.399999999998272E-2</v>
      </c>
      <c r="F31" s="42">
        <f t="shared" si="5"/>
        <v>3.5999999999944521E-2</v>
      </c>
      <c r="G31" s="42">
        <f t="shared" si="5"/>
        <v>0</v>
      </c>
      <c r="H31" s="42">
        <f t="shared" si="5"/>
        <v>9.9999999999909051E-3</v>
      </c>
      <c r="I31" s="42">
        <f t="shared" si="5"/>
        <v>-8.5000000000263753E-3</v>
      </c>
      <c r="J31" s="42">
        <f t="shared" si="5"/>
        <v>-4.6000000000049113E-2</v>
      </c>
      <c r="K31" s="42">
        <f t="shared" si="5"/>
        <v>-9.0000000000145519E-3</v>
      </c>
      <c r="L31" s="42">
        <f t="shared" si="5"/>
        <v>-2.4999999999977263E-2</v>
      </c>
      <c r="M31" s="42">
        <f t="shared" si="5"/>
        <v>2.8000000000020009E-2</v>
      </c>
      <c r="N31" s="42">
        <f t="shared" si="5"/>
        <v>-2.4999999999977263E-2</v>
      </c>
      <c r="O31" s="42">
        <f t="shared" si="5"/>
        <v>-7.5000000000500222E-3</v>
      </c>
      <c r="P31" s="42">
        <f t="shared" si="5"/>
        <v>-4.9999999999954525E-2</v>
      </c>
      <c r="Q31" s="42">
        <f t="shared" si="5"/>
        <v>-3.999999999996362E-2</v>
      </c>
      <c r="R31" s="42">
        <f t="shared" si="5"/>
        <v>-4.8999999999978172E-2</v>
      </c>
      <c r="S31" s="42">
        <f t="shared" si="5"/>
        <v>1.5499999999974534E-2</v>
      </c>
      <c r="T31" s="42">
        <f t="shared" si="5"/>
        <v>1.2500000000045475E-2</v>
      </c>
      <c r="U31" s="42">
        <f t="shared" si="5"/>
        <v>4.0000000000190994E-3</v>
      </c>
      <c r="V31" s="42">
        <f t="shared" si="5"/>
        <v>-2.4999999999977263E-2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2.4254183846608157E-3</v>
      </c>
      <c r="C32" s="42">
        <f t="shared" si="5"/>
        <v>2.4254183846608157E-3</v>
      </c>
      <c r="D32" s="42">
        <f t="shared" si="5"/>
        <v>2.463054187188618E-3</v>
      </c>
      <c r="E32" s="42">
        <f t="shared" si="5"/>
        <v>3.3794162826410457E-2</v>
      </c>
      <c r="F32" s="42">
        <f t="shared" si="5"/>
        <v>-8.7019579405307468E-3</v>
      </c>
      <c r="G32" s="42">
        <f t="shared" si="5"/>
        <v>0</v>
      </c>
      <c r="H32" s="42">
        <f t="shared" si="5"/>
        <v>-2.4213075060544043E-3</v>
      </c>
      <c r="I32" s="42">
        <f t="shared" si="5"/>
        <v>1.9680481593127297E-3</v>
      </c>
      <c r="J32" s="42">
        <f t="shared" si="5"/>
        <v>1.0879848628206901E-2</v>
      </c>
      <c r="K32" s="42">
        <f t="shared" si="5"/>
        <v>2.0804438280208615E-3</v>
      </c>
      <c r="L32" s="42">
        <f t="shared" si="5"/>
        <v>1.9305019304994175E-2</v>
      </c>
      <c r="M32" s="42">
        <f t="shared" si="5"/>
        <v>-6.4724919094061306E-3</v>
      </c>
      <c r="N32" s="42">
        <f t="shared" si="5"/>
        <v>5.7883769390940643E-3</v>
      </c>
      <c r="O32" s="42">
        <f t="shared" si="5"/>
        <v>1.7309023771190368E-3</v>
      </c>
      <c r="P32" s="42">
        <f t="shared" si="5"/>
        <v>1.1428571428552914E-2</v>
      </c>
      <c r="Q32" s="42">
        <f>Q30-Q26</f>
        <v>9.1282519397566375E-3</v>
      </c>
      <c r="R32" s="42">
        <f t="shared" si="5"/>
        <v>1.1254019292607609E-2</v>
      </c>
      <c r="S32" s="42">
        <f t="shared" si="5"/>
        <v>-1.1593118922945678E-2</v>
      </c>
      <c r="T32" s="42">
        <f t="shared" si="5"/>
        <v>-2.8571428571524393E-3</v>
      </c>
      <c r="U32" s="42">
        <f t="shared" si="5"/>
        <v>-9.1575091573758982E-4</v>
      </c>
      <c r="V32" s="42">
        <f t="shared" si="5"/>
        <v>5.7142857142764569E-3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77.599999999999994</v>
      </c>
      <c r="C39" s="125">
        <v>77.900000000000006</v>
      </c>
      <c r="D39" s="125">
        <v>24</v>
      </c>
      <c r="E39" s="125">
        <v>79.8</v>
      </c>
      <c r="F39" s="125">
        <v>79.900000000000006</v>
      </c>
      <c r="G39" s="141">
        <v>80.2</v>
      </c>
      <c r="H39" s="326">
        <f t="shared" ref="H39:H46" si="6">SUM(B39:G39)</f>
        <v>419.40000000000003</v>
      </c>
      <c r="I39" s="49"/>
      <c r="J39" s="42"/>
      <c r="K39" s="42"/>
      <c r="L39" s="42"/>
      <c r="M39" s="2"/>
      <c r="N39" s="146" t="s">
        <v>51</v>
      </c>
      <c r="O39" s="124">
        <v>7.8</v>
      </c>
      <c r="P39" s="125">
        <v>7.8</v>
      </c>
      <c r="Q39" s="125">
        <v>2.2999999999999998</v>
      </c>
      <c r="R39" s="125">
        <v>7.8</v>
      </c>
      <c r="S39" s="125">
        <v>7.8</v>
      </c>
      <c r="T39" s="125">
        <v>7.9</v>
      </c>
      <c r="U39" s="326">
        <f t="shared" ref="U39:U46" si="7">SUM(O39:T39)</f>
        <v>41.4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77.599999999999994</v>
      </c>
      <c r="C40" s="19">
        <v>77.900000000000006</v>
      </c>
      <c r="D40" s="19">
        <v>24</v>
      </c>
      <c r="E40" s="19">
        <v>79.8</v>
      </c>
      <c r="F40" s="19">
        <v>79.900000000000006</v>
      </c>
      <c r="G40" s="20">
        <v>80.2</v>
      </c>
      <c r="H40" s="264">
        <f t="shared" si="6"/>
        <v>419.40000000000003</v>
      </c>
      <c r="I40" s="309"/>
      <c r="J40" s="42"/>
      <c r="K40" s="42"/>
      <c r="L40" s="42"/>
      <c r="M40" s="2"/>
      <c r="N40" s="146" t="s">
        <v>24</v>
      </c>
      <c r="O40" s="18">
        <v>7.8</v>
      </c>
      <c r="P40" s="19">
        <v>7.8</v>
      </c>
      <c r="Q40" s="19">
        <v>2.2999999999999998</v>
      </c>
      <c r="R40" s="19">
        <v>7.8</v>
      </c>
      <c r="S40" s="19">
        <v>7.8</v>
      </c>
      <c r="T40" s="19">
        <v>7.9</v>
      </c>
      <c r="U40" s="264">
        <f t="shared" si="7"/>
        <v>41.4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80.7</v>
      </c>
      <c r="C41" s="19">
        <v>81</v>
      </c>
      <c r="D41" s="19">
        <v>24.8</v>
      </c>
      <c r="E41" s="19">
        <v>82.5</v>
      </c>
      <c r="F41" s="19">
        <v>82.6</v>
      </c>
      <c r="G41" s="20">
        <v>82.9</v>
      </c>
      <c r="H41" s="264">
        <f t="shared" si="6"/>
        <v>434.5</v>
      </c>
      <c r="I41" s="49"/>
      <c r="J41" s="196"/>
      <c r="K41" s="196"/>
      <c r="L41" s="196"/>
      <c r="M41" s="2"/>
      <c r="N41" s="146" t="s">
        <v>20</v>
      </c>
      <c r="O41" s="18">
        <v>8.1</v>
      </c>
      <c r="P41" s="19">
        <v>8.1999999999999993</v>
      </c>
      <c r="Q41" s="19">
        <v>2.2999999999999998</v>
      </c>
      <c r="R41" s="19">
        <v>8.1999999999999993</v>
      </c>
      <c r="S41" s="19">
        <v>8.1999999999999993</v>
      </c>
      <c r="T41" s="19">
        <v>8.1999999999999993</v>
      </c>
      <c r="U41" s="264">
        <f t="shared" si="7"/>
        <v>43.2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80.7</v>
      </c>
      <c r="C42" s="19">
        <v>81</v>
      </c>
      <c r="D42" s="19">
        <v>24.8</v>
      </c>
      <c r="E42" s="19">
        <v>82.5</v>
      </c>
      <c r="F42" s="19">
        <v>82.6</v>
      </c>
      <c r="G42" s="20">
        <v>82.9</v>
      </c>
      <c r="H42" s="264">
        <f t="shared" si="6"/>
        <v>434.5</v>
      </c>
      <c r="I42" s="49"/>
      <c r="J42" s="2"/>
      <c r="K42" s="2"/>
      <c r="L42" s="2"/>
      <c r="M42" s="2"/>
      <c r="N42" s="146" t="s">
        <v>28</v>
      </c>
      <c r="O42" s="18">
        <v>8.1</v>
      </c>
      <c r="P42" s="19">
        <v>8.1999999999999993</v>
      </c>
      <c r="Q42" s="19">
        <v>2.4</v>
      </c>
      <c r="R42" s="19">
        <v>8.1999999999999993</v>
      </c>
      <c r="S42" s="19">
        <v>8.1999999999999993</v>
      </c>
      <c r="T42" s="19">
        <v>8.1999999999999993</v>
      </c>
      <c r="U42" s="264">
        <f t="shared" si="7"/>
        <v>43.3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80.7</v>
      </c>
      <c r="C43" s="19">
        <v>81</v>
      </c>
      <c r="D43" s="19">
        <v>24.8</v>
      </c>
      <c r="E43" s="19">
        <v>82.5</v>
      </c>
      <c r="F43" s="19">
        <v>82.6</v>
      </c>
      <c r="G43" s="20">
        <v>83</v>
      </c>
      <c r="H43" s="264">
        <f t="shared" si="6"/>
        <v>434.6</v>
      </c>
      <c r="I43" s="49"/>
      <c r="J43" s="222"/>
      <c r="K43" s="222"/>
      <c r="L43" s="222"/>
      <c r="M43" s="2"/>
      <c r="N43" s="146" t="s">
        <v>21</v>
      </c>
      <c r="O43" s="18">
        <v>8.1999999999999993</v>
      </c>
      <c r="P43" s="19">
        <v>8.1999999999999993</v>
      </c>
      <c r="Q43" s="19">
        <v>2.4</v>
      </c>
      <c r="R43" s="19">
        <v>8.1999999999999993</v>
      </c>
      <c r="S43" s="19">
        <v>8.1999999999999993</v>
      </c>
      <c r="T43" s="19">
        <v>8.1999999999999993</v>
      </c>
      <c r="U43" s="264">
        <f t="shared" si="7"/>
        <v>43.399999999999991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80.7</v>
      </c>
      <c r="C44" s="19">
        <v>81.099999999999994</v>
      </c>
      <c r="D44" s="19">
        <v>24.8</v>
      </c>
      <c r="E44" s="19">
        <v>82.5</v>
      </c>
      <c r="F44" s="19">
        <v>82.7</v>
      </c>
      <c r="G44" s="20">
        <v>83</v>
      </c>
      <c r="H44" s="264">
        <f t="shared" si="6"/>
        <v>434.8</v>
      </c>
      <c r="I44" s="49"/>
      <c r="J44" s="43"/>
      <c r="K44" s="43"/>
      <c r="L44" s="43"/>
      <c r="M44" s="2"/>
      <c r="N44" s="146" t="s">
        <v>22</v>
      </c>
      <c r="O44" s="18">
        <v>8.1999999999999993</v>
      </c>
      <c r="P44" s="19">
        <v>8.1999999999999993</v>
      </c>
      <c r="Q44" s="19">
        <v>2.4</v>
      </c>
      <c r="R44" s="19">
        <v>8.1999999999999993</v>
      </c>
      <c r="S44" s="19">
        <v>8.3000000000000007</v>
      </c>
      <c r="T44" s="19">
        <v>8.3000000000000007</v>
      </c>
      <c r="U44" s="264">
        <f t="shared" si="7"/>
        <v>43.599999999999994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26">
        <v>80.7</v>
      </c>
      <c r="C45" s="227">
        <v>81.099999999999994</v>
      </c>
      <c r="D45" s="227">
        <v>24.8</v>
      </c>
      <c r="E45" s="227">
        <v>82.5</v>
      </c>
      <c r="F45" s="227">
        <v>82.7</v>
      </c>
      <c r="G45" s="228">
        <v>83</v>
      </c>
      <c r="H45" s="265">
        <f t="shared" si="6"/>
        <v>434.8</v>
      </c>
      <c r="I45" s="49"/>
      <c r="J45" s="41"/>
      <c r="K45" s="41"/>
      <c r="L45" s="41"/>
      <c r="M45" s="2"/>
      <c r="N45" s="146" t="s">
        <v>23</v>
      </c>
      <c r="O45" s="18">
        <v>8.1999999999999993</v>
      </c>
      <c r="P45" s="19">
        <v>8.1999999999999993</v>
      </c>
      <c r="Q45" s="19">
        <v>2.4</v>
      </c>
      <c r="R45" s="19">
        <v>8.1999999999999993</v>
      </c>
      <c r="S45" s="19">
        <v>8.3000000000000007</v>
      </c>
      <c r="T45" s="19">
        <v>8.3000000000000007</v>
      </c>
      <c r="U45" s="264">
        <f t="shared" si="7"/>
        <v>43.599999999999994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558.69999999999993</v>
      </c>
      <c r="C46" s="120">
        <f t="shared" si="8"/>
        <v>561</v>
      </c>
      <c r="D46" s="120">
        <f t="shared" si="8"/>
        <v>172</v>
      </c>
      <c r="E46" s="120">
        <f t="shared" si="8"/>
        <v>572.1</v>
      </c>
      <c r="F46" s="120">
        <f t="shared" si="8"/>
        <v>573</v>
      </c>
      <c r="G46" s="120">
        <f t="shared" si="8"/>
        <v>575.20000000000005</v>
      </c>
      <c r="H46" s="275">
        <f t="shared" si="6"/>
        <v>3012</v>
      </c>
      <c r="I46" s="49"/>
      <c r="J46" s="42"/>
      <c r="K46" s="42"/>
      <c r="L46" s="42"/>
      <c r="N46" s="145" t="s">
        <v>9</v>
      </c>
      <c r="O46" s="122">
        <f t="shared" ref="O46:T46" si="9">SUM(O39:O45)</f>
        <v>56.400000000000006</v>
      </c>
      <c r="P46" s="120">
        <f t="shared" si="9"/>
        <v>56.599999999999994</v>
      </c>
      <c r="Q46" s="120">
        <f t="shared" si="9"/>
        <v>16.5</v>
      </c>
      <c r="R46" s="120">
        <f t="shared" si="9"/>
        <v>56.599999999999994</v>
      </c>
      <c r="S46" s="120">
        <f t="shared" si="9"/>
        <v>56.8</v>
      </c>
      <c r="T46" s="120">
        <f t="shared" si="9"/>
        <v>57</v>
      </c>
      <c r="U46" s="326">
        <f t="shared" si="7"/>
        <v>299.89999999999998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125.5</v>
      </c>
      <c r="C47" s="24">
        <v>126</v>
      </c>
      <c r="D47" s="24">
        <v>128</v>
      </c>
      <c r="E47" s="24">
        <v>128.5</v>
      </c>
      <c r="F47" s="24">
        <v>128.5</v>
      </c>
      <c r="G47" s="24">
        <v>129</v>
      </c>
      <c r="H47" s="128">
        <f>+((H46/H48)/7)*1000</f>
        <v>127.52985011431959</v>
      </c>
      <c r="I47" s="50"/>
      <c r="J47" s="49"/>
      <c r="K47" s="49"/>
      <c r="L47" s="49"/>
      <c r="N47" s="453" t="s">
        <v>11</v>
      </c>
      <c r="O47" s="23">
        <v>139</v>
      </c>
      <c r="P47" s="24">
        <v>139.5</v>
      </c>
      <c r="Q47" s="24">
        <v>139</v>
      </c>
      <c r="R47" s="24">
        <v>139.5</v>
      </c>
      <c r="S47" s="24">
        <v>140</v>
      </c>
      <c r="T47" s="24">
        <v>140.5</v>
      </c>
      <c r="U47" s="234">
        <f>+((U46/U48)/7)*1000</f>
        <v>139.55328059562586</v>
      </c>
      <c r="V47" s="50"/>
    </row>
    <row r="48" spans="1:31" ht="33.75" customHeight="1" x14ac:dyDescent="0.25">
      <c r="A48" s="149" t="s">
        <v>12</v>
      </c>
      <c r="B48" s="26">
        <v>636</v>
      </c>
      <c r="C48" s="27">
        <v>636</v>
      </c>
      <c r="D48" s="27">
        <v>192</v>
      </c>
      <c r="E48" s="27">
        <v>636</v>
      </c>
      <c r="F48" s="27">
        <v>637</v>
      </c>
      <c r="G48" s="27">
        <v>637</v>
      </c>
      <c r="H48" s="129">
        <f>SUM(B48:G48)</f>
        <v>3374</v>
      </c>
      <c r="I48" s="41"/>
      <c r="J48" s="41"/>
      <c r="K48" s="41"/>
      <c r="L48" s="49"/>
      <c r="M48" s="51"/>
      <c r="N48" s="149" t="s">
        <v>12</v>
      </c>
      <c r="O48" s="241">
        <v>58</v>
      </c>
      <c r="P48" s="278">
        <v>58</v>
      </c>
      <c r="Q48" s="278">
        <v>17</v>
      </c>
      <c r="R48" s="278">
        <v>58</v>
      </c>
      <c r="S48" s="278">
        <v>58</v>
      </c>
      <c r="T48" s="278">
        <v>58</v>
      </c>
      <c r="U48" s="235">
        <f>SUM(O48:T48)</f>
        <v>307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80.705200000000005</v>
      </c>
      <c r="C49" s="31">
        <f t="shared" si="10"/>
        <v>81.0304</v>
      </c>
      <c r="D49" s="31">
        <f t="shared" si="10"/>
        <v>24.806400000000004</v>
      </c>
      <c r="E49" s="31">
        <f t="shared" si="10"/>
        <v>82.496399999999994</v>
      </c>
      <c r="F49" s="31">
        <f t="shared" si="10"/>
        <v>82.636299999999991</v>
      </c>
      <c r="G49" s="31">
        <f t="shared" si="10"/>
        <v>82.96220000000001</v>
      </c>
      <c r="H49" s="130">
        <f>((H46*1000)/H48)/7</f>
        <v>127.52985011431959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8.1667999999999985</v>
      </c>
      <c r="P49" s="31">
        <f t="shared" si="11"/>
        <v>8.2073999999999998</v>
      </c>
      <c r="Q49" s="31">
        <f t="shared" si="11"/>
        <v>2.3882000000000003</v>
      </c>
      <c r="R49" s="31">
        <f t="shared" si="11"/>
        <v>8.2073999999999998</v>
      </c>
      <c r="S49" s="31">
        <f t="shared" si="11"/>
        <v>8.2480000000000011</v>
      </c>
      <c r="T49" s="31">
        <f t="shared" si="11"/>
        <v>8.2485999999999997</v>
      </c>
      <c r="U49" s="253">
        <f>((U46*1000)/U48)/7</f>
        <v>139.55328059562586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558.726</v>
      </c>
      <c r="C50" s="282">
        <f t="shared" si="12"/>
        <v>560.952</v>
      </c>
      <c r="D50" s="282">
        <f t="shared" si="12"/>
        <v>172.03200000000001</v>
      </c>
      <c r="E50" s="282">
        <f t="shared" si="12"/>
        <v>572.08199999999999</v>
      </c>
      <c r="F50" s="282">
        <f t="shared" si="12"/>
        <v>572.98149999999998</v>
      </c>
      <c r="G50" s="282">
        <f t="shared" si="12"/>
        <v>575.21100000000001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56.433999999999997</v>
      </c>
      <c r="P50" s="282">
        <f t="shared" si="13"/>
        <v>56.637</v>
      </c>
      <c r="Q50" s="282">
        <f t="shared" si="13"/>
        <v>16.541</v>
      </c>
      <c r="R50" s="282">
        <f t="shared" si="13"/>
        <v>56.637</v>
      </c>
      <c r="S50" s="282">
        <f t="shared" si="13"/>
        <v>56.84</v>
      </c>
      <c r="T50" s="282">
        <f t="shared" si="13"/>
        <v>57.042999999999999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125.49415992812219</v>
      </c>
      <c r="C51" s="38">
        <f t="shared" si="14"/>
        <v>126.01078167115904</v>
      </c>
      <c r="D51" s="38">
        <f t="shared" si="14"/>
        <v>127.9761904761905</v>
      </c>
      <c r="E51" s="38">
        <f t="shared" si="14"/>
        <v>128.50404312668465</v>
      </c>
      <c r="F51" s="38">
        <f t="shared" si="14"/>
        <v>128.50414891231219</v>
      </c>
      <c r="G51" s="38">
        <f t="shared" si="14"/>
        <v>128.99753307916575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138.91625615763547</v>
      </c>
      <c r="P51" s="38">
        <f t="shared" si="15"/>
        <v>139.40886699507388</v>
      </c>
      <c r="Q51" s="38">
        <f t="shared" si="15"/>
        <v>138.65546218487395</v>
      </c>
      <c r="R51" s="38">
        <f t="shared" si="15"/>
        <v>139.40886699507388</v>
      </c>
      <c r="S51" s="38">
        <f t="shared" si="15"/>
        <v>139.90147783251231</v>
      </c>
      <c r="T51" s="38">
        <f t="shared" si="15"/>
        <v>140.39408866995075</v>
      </c>
      <c r="U51" s="255"/>
      <c r="V51" s="42"/>
    </row>
    <row r="52" spans="1:30" ht="33.75" customHeight="1" x14ac:dyDescent="0.25">
      <c r="A52" s="41"/>
      <c r="B52" s="42">
        <f>B50-B46</f>
        <v>2.6000000000067303E-2</v>
      </c>
      <c r="C52" s="42">
        <f t="shared" ref="C52:G53" si="16">C50-C46</f>
        <v>-4.8000000000001819E-2</v>
      </c>
      <c r="D52" s="42">
        <f t="shared" si="16"/>
        <v>3.2000000000010687E-2</v>
      </c>
      <c r="E52" s="42">
        <f t="shared" si="16"/>
        <v>-1.8000000000029104E-2</v>
      </c>
      <c r="F52" s="42">
        <f t="shared" si="16"/>
        <v>-1.850000000001728E-2</v>
      </c>
      <c r="G52" s="42">
        <f t="shared" si="16"/>
        <v>1.0999999999967258E-2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3.3999999999991815E-2</v>
      </c>
      <c r="P52" s="42">
        <f t="shared" si="17"/>
        <v>3.7000000000006139E-2</v>
      </c>
      <c r="Q52" s="42">
        <f t="shared" si="17"/>
        <v>4.1000000000000369E-2</v>
      </c>
      <c r="R52" s="42">
        <f t="shared" si="17"/>
        <v>3.7000000000006139E-2</v>
      </c>
      <c r="S52" s="42">
        <f t="shared" si="17"/>
        <v>4.0000000000006253E-2</v>
      </c>
      <c r="T52" s="42">
        <f t="shared" si="17"/>
        <v>4.2999999999999261E-2</v>
      </c>
    </row>
    <row r="53" spans="1:30" ht="33.75" customHeight="1" x14ac:dyDescent="0.25">
      <c r="A53" s="41"/>
      <c r="B53" s="42">
        <f>B51-B47</f>
        <v>-5.8400718778131022E-3</v>
      </c>
      <c r="C53" s="42">
        <f t="shared" si="16"/>
        <v>1.0781671159037387E-2</v>
      </c>
      <c r="D53" s="42">
        <f t="shared" si="16"/>
        <v>-2.3809523809504185E-2</v>
      </c>
      <c r="E53" s="42">
        <f t="shared" si="16"/>
        <v>4.0431266846496783E-3</v>
      </c>
      <c r="F53" s="42">
        <f t="shared" si="16"/>
        <v>4.148912312189168E-3</v>
      </c>
      <c r="G53" s="42">
        <f t="shared" si="16"/>
        <v>-2.4669208342515958E-3</v>
      </c>
      <c r="I53" s="2"/>
      <c r="J53" s="2"/>
      <c r="K53" s="45"/>
      <c r="L53" s="41"/>
      <c r="M53" s="42"/>
      <c r="N53" s="42"/>
      <c r="O53" s="42">
        <f t="shared" si="17"/>
        <v>-8.3743842364526699E-2</v>
      </c>
      <c r="P53" s="42">
        <f t="shared" si="17"/>
        <v>-9.1133004926120975E-2</v>
      </c>
      <c r="Q53" s="42">
        <f t="shared" si="17"/>
        <v>-0.34453781512604564</v>
      </c>
      <c r="R53" s="42">
        <f t="shared" si="17"/>
        <v>-9.1133004926120975E-2</v>
      </c>
      <c r="S53" s="42">
        <f t="shared" si="17"/>
        <v>-9.8522167487686829E-2</v>
      </c>
      <c r="T53" s="42">
        <f t="shared" si="17"/>
        <v>-0.10591133004925268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8"/>
      <c r="P56" s="1018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7.9</v>
      </c>
      <c r="D60" s="19">
        <v>7.9</v>
      </c>
      <c r="E60" s="19">
        <v>2.5</v>
      </c>
      <c r="F60" s="19">
        <v>7.9</v>
      </c>
      <c r="G60" s="19">
        <v>7.9</v>
      </c>
      <c r="H60" s="104">
        <v>7.9</v>
      </c>
      <c r="I60" s="266">
        <v>8.3000000000000007</v>
      </c>
      <c r="J60" s="267">
        <v>8.4</v>
      </c>
      <c r="K60" s="267">
        <v>8.3000000000000007</v>
      </c>
      <c r="L60" s="267">
        <v>2.5</v>
      </c>
      <c r="M60" s="267">
        <v>8.4</v>
      </c>
      <c r="N60" s="267">
        <v>8.1</v>
      </c>
      <c r="O60" s="474">
        <v>8.3000000000000007</v>
      </c>
      <c r="P60" s="281">
        <v>8.4</v>
      </c>
      <c r="Q60" s="282">
        <v>8.3000000000000007</v>
      </c>
      <c r="R60" s="282">
        <v>8</v>
      </c>
      <c r="S60" s="282">
        <v>2.6</v>
      </c>
      <c r="T60" s="282">
        <v>8.5</v>
      </c>
      <c r="U60" s="282">
        <v>8.4</v>
      </c>
      <c r="V60" s="282">
        <v>8.4</v>
      </c>
      <c r="W60" s="98">
        <f t="shared" ref="W60:W66" si="18">SUM(B60:V60)</f>
        <v>154.80000000000001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7.9</v>
      </c>
      <c r="C61" s="19">
        <v>7.9</v>
      </c>
      <c r="D61" s="19">
        <v>7.9</v>
      </c>
      <c r="E61" s="19">
        <v>2.5</v>
      </c>
      <c r="F61" s="19">
        <v>7.9</v>
      </c>
      <c r="G61" s="19">
        <v>7.9</v>
      </c>
      <c r="H61" s="104">
        <v>7.9</v>
      </c>
      <c r="I61" s="266">
        <v>8.3000000000000007</v>
      </c>
      <c r="J61" s="267">
        <v>8.4</v>
      </c>
      <c r="K61" s="267">
        <v>8.3000000000000007</v>
      </c>
      <c r="L61" s="267">
        <v>2.5</v>
      </c>
      <c r="M61" s="267">
        <v>8.4</v>
      </c>
      <c r="N61" s="267">
        <v>8.1</v>
      </c>
      <c r="O61" s="474">
        <v>8.3000000000000007</v>
      </c>
      <c r="P61" s="281">
        <v>8.4</v>
      </c>
      <c r="Q61" s="282">
        <v>8.3000000000000007</v>
      </c>
      <c r="R61" s="282">
        <v>8</v>
      </c>
      <c r="S61" s="282">
        <v>2.6</v>
      </c>
      <c r="T61" s="282">
        <v>8.5</v>
      </c>
      <c r="U61" s="282">
        <v>8.4</v>
      </c>
      <c r="V61" s="282">
        <v>8.4</v>
      </c>
      <c r="W61" s="98">
        <f t="shared" si="18"/>
        <v>154.80000000000001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8.1</v>
      </c>
      <c r="C62" s="19">
        <v>8</v>
      </c>
      <c r="D62" s="19">
        <v>8.1</v>
      </c>
      <c r="E62" s="19">
        <v>2.4</v>
      </c>
      <c r="F62" s="19">
        <v>8</v>
      </c>
      <c r="G62" s="19">
        <v>8</v>
      </c>
      <c r="H62" s="104">
        <v>8</v>
      </c>
      <c r="I62" s="18">
        <v>8.4</v>
      </c>
      <c r="J62" s="19">
        <v>8.5</v>
      </c>
      <c r="K62" s="19">
        <v>8.5</v>
      </c>
      <c r="L62" s="19">
        <v>2.6</v>
      </c>
      <c r="M62" s="267">
        <v>8.4</v>
      </c>
      <c r="N62" s="19">
        <v>8.3000000000000007</v>
      </c>
      <c r="O62" s="474">
        <v>8.1999999999999993</v>
      </c>
      <c r="P62" s="281">
        <v>8.5</v>
      </c>
      <c r="Q62" s="282">
        <v>8.4</v>
      </c>
      <c r="R62" s="282">
        <v>8.3000000000000007</v>
      </c>
      <c r="S62" s="282">
        <v>2.5</v>
      </c>
      <c r="T62" s="282">
        <v>8.6</v>
      </c>
      <c r="U62" s="282">
        <v>8.5</v>
      </c>
      <c r="V62" s="282">
        <v>8.5</v>
      </c>
      <c r="W62" s="98">
        <f t="shared" si="18"/>
        <v>156.80000000000001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8.1</v>
      </c>
      <c r="C63" s="19">
        <v>8</v>
      </c>
      <c r="D63" s="19">
        <v>8.1</v>
      </c>
      <c r="E63" s="19">
        <v>2.4</v>
      </c>
      <c r="F63" s="19">
        <v>8</v>
      </c>
      <c r="G63" s="19">
        <v>8</v>
      </c>
      <c r="H63" s="104">
        <v>8</v>
      </c>
      <c r="I63" s="18">
        <v>8.4</v>
      </c>
      <c r="J63" s="19">
        <v>8.5</v>
      </c>
      <c r="K63" s="19">
        <v>8.5</v>
      </c>
      <c r="L63" s="19">
        <v>2.6</v>
      </c>
      <c r="M63" s="267">
        <v>8.4</v>
      </c>
      <c r="N63" s="19">
        <v>8.4</v>
      </c>
      <c r="O63" s="474">
        <v>8.1999999999999993</v>
      </c>
      <c r="P63" s="281">
        <v>8.5</v>
      </c>
      <c r="Q63" s="282">
        <v>8.4</v>
      </c>
      <c r="R63" s="282">
        <v>8.4</v>
      </c>
      <c r="S63" s="282">
        <v>2.5</v>
      </c>
      <c r="T63" s="282">
        <v>8.6</v>
      </c>
      <c r="U63" s="282">
        <v>8.5</v>
      </c>
      <c r="V63" s="282">
        <v>8.5</v>
      </c>
      <c r="W63" s="98">
        <f t="shared" si="18"/>
        <v>157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8.1</v>
      </c>
      <c r="C64" s="19">
        <v>8.1</v>
      </c>
      <c r="D64" s="19">
        <v>8.1</v>
      </c>
      <c r="E64" s="19">
        <v>2.4</v>
      </c>
      <c r="F64" s="19">
        <v>8</v>
      </c>
      <c r="G64" s="19">
        <v>8.1</v>
      </c>
      <c r="H64" s="104">
        <v>8.1</v>
      </c>
      <c r="I64" s="18">
        <v>8.5</v>
      </c>
      <c r="J64" s="19">
        <v>8.5</v>
      </c>
      <c r="K64" s="19">
        <v>8.5</v>
      </c>
      <c r="L64" s="19">
        <v>2.6</v>
      </c>
      <c r="M64" s="19">
        <v>8.5</v>
      </c>
      <c r="N64" s="19">
        <v>8.4</v>
      </c>
      <c r="O64" s="474">
        <v>8.3000000000000007</v>
      </c>
      <c r="P64" s="281">
        <v>8.5</v>
      </c>
      <c r="Q64" s="282">
        <v>8.5</v>
      </c>
      <c r="R64" s="282">
        <v>8.4</v>
      </c>
      <c r="S64" s="282">
        <v>2.6</v>
      </c>
      <c r="T64" s="282">
        <v>8.6</v>
      </c>
      <c r="U64" s="282">
        <v>8.6</v>
      </c>
      <c r="V64" s="282">
        <v>8.6</v>
      </c>
      <c r="W64" s="98">
        <f t="shared" si="18"/>
        <v>157.99999999999997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8.1</v>
      </c>
      <c r="C65" s="19">
        <v>8.1</v>
      </c>
      <c r="D65" s="19">
        <v>8.1</v>
      </c>
      <c r="E65" s="19">
        <v>2.4</v>
      </c>
      <c r="F65" s="19">
        <v>8</v>
      </c>
      <c r="G65" s="19">
        <v>8.1</v>
      </c>
      <c r="H65" s="104">
        <v>8.1</v>
      </c>
      <c r="I65" s="18">
        <v>8.5</v>
      </c>
      <c r="J65" s="19">
        <v>8.5</v>
      </c>
      <c r="K65" s="19">
        <v>8.5</v>
      </c>
      <c r="L65" s="19">
        <v>2.6</v>
      </c>
      <c r="M65" s="19">
        <v>8.5</v>
      </c>
      <c r="N65" s="19">
        <v>8.4</v>
      </c>
      <c r="O65" s="474">
        <v>8.3000000000000007</v>
      </c>
      <c r="P65" s="281">
        <v>8.5</v>
      </c>
      <c r="Q65" s="282">
        <v>8.5</v>
      </c>
      <c r="R65" s="282">
        <v>8.4</v>
      </c>
      <c r="S65" s="282">
        <v>2.6</v>
      </c>
      <c r="T65" s="282">
        <v>8.6</v>
      </c>
      <c r="U65" s="282">
        <v>8.6</v>
      </c>
      <c r="V65" s="282">
        <v>8.6</v>
      </c>
      <c r="W65" s="98">
        <f t="shared" si="18"/>
        <v>157.99999999999997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8.1</v>
      </c>
      <c r="D66" s="19">
        <v>8.1</v>
      </c>
      <c r="E66" s="19">
        <v>2.4</v>
      </c>
      <c r="F66" s="19">
        <v>8.1</v>
      </c>
      <c r="G66" s="19">
        <v>8.1</v>
      </c>
      <c r="H66" s="104">
        <v>8.1</v>
      </c>
      <c r="I66" s="18">
        <v>8.5</v>
      </c>
      <c r="J66" s="19">
        <v>8.5</v>
      </c>
      <c r="K66" s="19">
        <v>8.5</v>
      </c>
      <c r="L66" s="19">
        <v>2.6</v>
      </c>
      <c r="M66" s="19">
        <v>8.5</v>
      </c>
      <c r="N66" s="19">
        <v>8.4</v>
      </c>
      <c r="O66" s="474">
        <v>8.3000000000000007</v>
      </c>
      <c r="P66" s="281">
        <v>8.5</v>
      </c>
      <c r="Q66" s="282">
        <v>8.5</v>
      </c>
      <c r="R66" s="282">
        <v>8.4</v>
      </c>
      <c r="S66" s="282">
        <v>2.6</v>
      </c>
      <c r="T66" s="282">
        <v>8.6999999999999993</v>
      </c>
      <c r="U66" s="282">
        <v>8.6</v>
      </c>
      <c r="V66" s="282">
        <v>8.6</v>
      </c>
      <c r="W66" s="98">
        <f t="shared" si="18"/>
        <v>158.19999999999996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56.300000000000004</v>
      </c>
      <c r="C67" s="120">
        <f>SUM(C60:C66)</f>
        <v>56.1</v>
      </c>
      <c r="D67" s="120">
        <f t="shared" ref="D67:V67" si="19">SUM(D60:D66)</f>
        <v>56.300000000000004</v>
      </c>
      <c r="E67" s="120">
        <f t="shared" si="19"/>
        <v>17</v>
      </c>
      <c r="F67" s="120">
        <f t="shared" si="19"/>
        <v>55.9</v>
      </c>
      <c r="G67" s="120">
        <f t="shared" si="19"/>
        <v>56.1</v>
      </c>
      <c r="H67" s="268">
        <f t="shared" si="19"/>
        <v>56.1</v>
      </c>
      <c r="I67" s="122">
        <f t="shared" si="19"/>
        <v>58.9</v>
      </c>
      <c r="J67" s="120">
        <f t="shared" si="19"/>
        <v>59.3</v>
      </c>
      <c r="K67" s="120">
        <f t="shared" si="19"/>
        <v>59.1</v>
      </c>
      <c r="L67" s="120">
        <f t="shared" si="19"/>
        <v>18</v>
      </c>
      <c r="M67" s="120">
        <f t="shared" si="19"/>
        <v>59.1</v>
      </c>
      <c r="N67" s="120">
        <f t="shared" si="19"/>
        <v>58.099999999999994</v>
      </c>
      <c r="O67" s="121">
        <f t="shared" si="19"/>
        <v>57.899999999999991</v>
      </c>
      <c r="P67" s="122">
        <f t="shared" si="19"/>
        <v>59.3</v>
      </c>
      <c r="Q67" s="120">
        <f t="shared" si="19"/>
        <v>58.9</v>
      </c>
      <c r="R67" s="120">
        <f t="shared" si="19"/>
        <v>57.9</v>
      </c>
      <c r="S67" s="120">
        <f t="shared" si="19"/>
        <v>18</v>
      </c>
      <c r="T67" s="120">
        <f t="shared" si="19"/>
        <v>60.100000000000009</v>
      </c>
      <c r="U67" s="120">
        <f t="shared" si="19"/>
        <v>59.6</v>
      </c>
      <c r="V67" s="121">
        <f t="shared" si="19"/>
        <v>59.6</v>
      </c>
      <c r="W67" s="361">
        <f>SUM(W60:W66)</f>
        <v>1097.6000000000001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143.5</v>
      </c>
      <c r="C68" s="24">
        <v>143</v>
      </c>
      <c r="D68" s="24">
        <v>143.5</v>
      </c>
      <c r="E68" s="24">
        <v>142.5</v>
      </c>
      <c r="F68" s="24">
        <v>142.5</v>
      </c>
      <c r="G68" s="24">
        <v>143</v>
      </c>
      <c r="H68" s="155">
        <v>143</v>
      </c>
      <c r="I68" s="23">
        <v>142.5</v>
      </c>
      <c r="J68" s="24">
        <v>143.5</v>
      </c>
      <c r="K68" s="24">
        <v>143</v>
      </c>
      <c r="L68" s="24">
        <v>143</v>
      </c>
      <c r="M68" s="24">
        <v>143</v>
      </c>
      <c r="N68" s="24">
        <v>143</v>
      </c>
      <c r="O68" s="25">
        <v>142.5</v>
      </c>
      <c r="P68" s="23">
        <v>143.5</v>
      </c>
      <c r="Q68" s="24">
        <v>142.5</v>
      </c>
      <c r="R68" s="24">
        <v>142.5</v>
      </c>
      <c r="S68" s="24">
        <v>143</v>
      </c>
      <c r="T68" s="24">
        <v>143</v>
      </c>
      <c r="U68" s="24">
        <v>142</v>
      </c>
      <c r="V68" s="25">
        <v>142</v>
      </c>
      <c r="W68" s="99">
        <f>((W67/W69)/7)*1000</f>
        <v>142.93527803099363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17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1097</v>
      </c>
    </row>
    <row r="70" spans="1:26" ht="33.75" customHeight="1" x14ac:dyDescent="0.25">
      <c r="A70" s="150" t="s">
        <v>13</v>
      </c>
      <c r="B70" s="358">
        <f>((((B68*7)*B69)/1000)-(B60+B61))/5</f>
        <v>8.0903999999999989</v>
      </c>
      <c r="C70" s="31">
        <f t="shared" ref="C70:V70" si="20">((((C68*7)*C69)/1000)-(C60+C61))/5</f>
        <v>8.0511999999999997</v>
      </c>
      <c r="D70" s="31">
        <f t="shared" si="20"/>
        <v>8.0903999999999989</v>
      </c>
      <c r="E70" s="31">
        <f t="shared" si="20"/>
        <v>2.3914999999999997</v>
      </c>
      <c r="F70" s="31">
        <f t="shared" si="20"/>
        <v>8.0120000000000005</v>
      </c>
      <c r="G70" s="31">
        <f t="shared" si="20"/>
        <v>8.0511999999999997</v>
      </c>
      <c r="H70" s="464">
        <f t="shared" si="20"/>
        <v>8.0511999999999997</v>
      </c>
      <c r="I70" s="358">
        <f t="shared" si="20"/>
        <v>8.4504999999999999</v>
      </c>
      <c r="J70" s="31">
        <f t="shared" si="20"/>
        <v>8.4931000000000019</v>
      </c>
      <c r="K70" s="31">
        <f t="shared" si="20"/>
        <v>8.4917999999999996</v>
      </c>
      <c r="L70" s="31">
        <f t="shared" si="20"/>
        <v>2.6036000000000001</v>
      </c>
      <c r="M70" s="31">
        <f t="shared" si="20"/>
        <v>8.4518000000000004</v>
      </c>
      <c r="N70" s="31">
        <f t="shared" si="20"/>
        <v>8.3716000000000008</v>
      </c>
      <c r="O70" s="322">
        <f t="shared" si="20"/>
        <v>8.2509999999999994</v>
      </c>
      <c r="P70" s="30">
        <f t="shared" si="20"/>
        <v>8.4931000000000019</v>
      </c>
      <c r="Q70" s="31">
        <f t="shared" si="20"/>
        <v>8.4504999999999999</v>
      </c>
      <c r="R70" s="31">
        <f t="shared" si="20"/>
        <v>8.3709999999999987</v>
      </c>
      <c r="S70" s="31">
        <f t="shared" si="20"/>
        <v>2.5636000000000001</v>
      </c>
      <c r="T70" s="31">
        <f t="shared" si="20"/>
        <v>8.6120000000000001</v>
      </c>
      <c r="U70" s="31">
        <f t="shared" si="20"/>
        <v>8.5680000000000014</v>
      </c>
      <c r="V70" s="32">
        <f t="shared" si="20"/>
        <v>8.5680000000000014</v>
      </c>
      <c r="W70" s="362">
        <f>((W67*1000)/7)/W69</f>
        <v>142.93527803099366</v>
      </c>
    </row>
    <row r="71" spans="1:26" ht="33.75" customHeight="1" x14ac:dyDescent="0.25">
      <c r="A71" s="151" t="s">
        <v>14</v>
      </c>
      <c r="B71" s="281">
        <f>((B69*B68)*7)/1000</f>
        <v>56.252000000000002</v>
      </c>
      <c r="C71" s="282">
        <f>((C69*C68)*7)/1000</f>
        <v>56.055999999999997</v>
      </c>
      <c r="D71" s="282">
        <f t="shared" ref="D71:V71" si="21">((D69*D68)*7)/1000</f>
        <v>56.252000000000002</v>
      </c>
      <c r="E71" s="282">
        <f t="shared" si="21"/>
        <v>16.9575</v>
      </c>
      <c r="F71" s="282">
        <f t="shared" si="21"/>
        <v>55.86</v>
      </c>
      <c r="G71" s="282">
        <f t="shared" si="21"/>
        <v>56.055999999999997</v>
      </c>
      <c r="H71" s="283">
        <f t="shared" si="21"/>
        <v>56.055999999999997</v>
      </c>
      <c r="I71" s="281">
        <f t="shared" si="21"/>
        <v>58.852499999999999</v>
      </c>
      <c r="J71" s="282">
        <f t="shared" si="21"/>
        <v>59.265500000000003</v>
      </c>
      <c r="K71" s="282">
        <f t="shared" si="21"/>
        <v>59.058999999999997</v>
      </c>
      <c r="L71" s="282">
        <f t="shared" si="21"/>
        <v>18.018000000000001</v>
      </c>
      <c r="M71" s="282">
        <f t="shared" si="21"/>
        <v>59.058999999999997</v>
      </c>
      <c r="N71" s="282">
        <f t="shared" si="21"/>
        <v>58.058</v>
      </c>
      <c r="O71" s="284">
        <f t="shared" si="21"/>
        <v>57.854999999999997</v>
      </c>
      <c r="P71" s="281">
        <f t="shared" si="21"/>
        <v>59.265500000000003</v>
      </c>
      <c r="Q71" s="282">
        <f t="shared" si="21"/>
        <v>58.852499999999999</v>
      </c>
      <c r="R71" s="282">
        <f t="shared" si="21"/>
        <v>57.854999999999997</v>
      </c>
      <c r="S71" s="282">
        <f t="shared" si="21"/>
        <v>18.018000000000001</v>
      </c>
      <c r="T71" s="282">
        <f t="shared" si="21"/>
        <v>60.06</v>
      </c>
      <c r="U71" s="282">
        <f t="shared" si="21"/>
        <v>59.64</v>
      </c>
      <c r="V71" s="284">
        <f t="shared" si="21"/>
        <v>59.64</v>
      </c>
      <c r="W71" s="36"/>
    </row>
    <row r="72" spans="1:26" ht="33.75" customHeight="1" thickBot="1" x14ac:dyDescent="0.3">
      <c r="A72" s="152" t="s">
        <v>15</v>
      </c>
      <c r="B72" s="37">
        <f>+(B67/B69)/7*1000</f>
        <v>143.62244897959184</v>
      </c>
      <c r="C72" s="38">
        <f t="shared" ref="C72:V72" si="22">+(C67/C69)/7*1000</f>
        <v>143.11224489795919</v>
      </c>
      <c r="D72" s="38">
        <f t="shared" si="22"/>
        <v>143.62244897959184</v>
      </c>
      <c r="E72" s="38">
        <f t="shared" si="22"/>
        <v>142.85714285714286</v>
      </c>
      <c r="F72" s="38">
        <f t="shared" si="22"/>
        <v>142.60204081632651</v>
      </c>
      <c r="G72" s="38">
        <f t="shared" si="22"/>
        <v>143.11224489795919</v>
      </c>
      <c r="H72" s="158">
        <f t="shared" si="22"/>
        <v>143.11224489795919</v>
      </c>
      <c r="I72" s="37">
        <f t="shared" si="22"/>
        <v>142.61501210653753</v>
      </c>
      <c r="J72" s="38">
        <f t="shared" si="22"/>
        <v>143.58353510895884</v>
      </c>
      <c r="K72" s="38">
        <f t="shared" si="22"/>
        <v>143.09927360774819</v>
      </c>
      <c r="L72" s="38">
        <f t="shared" si="22"/>
        <v>142.85714285714286</v>
      </c>
      <c r="M72" s="38">
        <f t="shared" si="22"/>
        <v>143.09927360774819</v>
      </c>
      <c r="N72" s="38">
        <f t="shared" si="22"/>
        <v>143.10344827586204</v>
      </c>
      <c r="O72" s="39">
        <f t="shared" si="22"/>
        <v>142.61083743842363</v>
      </c>
      <c r="P72" s="37">
        <f t="shared" si="22"/>
        <v>143.58353510895884</v>
      </c>
      <c r="Q72" s="38">
        <f t="shared" si="22"/>
        <v>142.61501210653753</v>
      </c>
      <c r="R72" s="38">
        <f t="shared" si="22"/>
        <v>142.61083743842366</v>
      </c>
      <c r="S72" s="38">
        <f t="shared" si="22"/>
        <v>142.85714285714286</v>
      </c>
      <c r="T72" s="38">
        <f t="shared" si="22"/>
        <v>143.0952380952381</v>
      </c>
      <c r="U72" s="38">
        <f t="shared" si="22"/>
        <v>141.90476190476193</v>
      </c>
      <c r="V72" s="39">
        <f t="shared" si="22"/>
        <v>141.90476190476193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-4.4000000000004036E-2</v>
      </c>
      <c r="D73" s="42">
        <f t="shared" si="23"/>
        <v>-4.8000000000001819E-2</v>
      </c>
      <c r="E73" s="42">
        <f t="shared" si="23"/>
        <v>-4.2500000000000426E-2</v>
      </c>
      <c r="F73" s="42">
        <f t="shared" si="23"/>
        <v>-3.9999999999999147E-2</v>
      </c>
      <c r="G73" s="42">
        <f t="shared" si="23"/>
        <v>-4.4000000000004036E-2</v>
      </c>
      <c r="H73" s="42">
        <f t="shared" si="23"/>
        <v>-4.4000000000004036E-2</v>
      </c>
      <c r="I73" s="42">
        <f t="shared" si="23"/>
        <v>-4.7499999999999432E-2</v>
      </c>
      <c r="J73" s="42">
        <f t="shared" si="23"/>
        <v>-3.4499999999994202E-2</v>
      </c>
      <c r="K73" s="42">
        <f t="shared" si="23"/>
        <v>-4.1000000000003922E-2</v>
      </c>
      <c r="L73" s="42">
        <f t="shared" si="23"/>
        <v>1.8000000000000682E-2</v>
      </c>
      <c r="M73" s="42">
        <f t="shared" si="23"/>
        <v>-4.1000000000003922E-2</v>
      </c>
      <c r="N73" s="42">
        <f t="shared" si="23"/>
        <v>-4.1999999999994486E-2</v>
      </c>
      <c r="O73" s="42">
        <f t="shared" si="23"/>
        <v>-4.49999999999946E-2</v>
      </c>
      <c r="P73" s="42">
        <f t="shared" si="23"/>
        <v>-3.4499999999994202E-2</v>
      </c>
      <c r="Q73" s="42">
        <f t="shared" si="23"/>
        <v>-4.7499999999999432E-2</v>
      </c>
      <c r="R73" s="42">
        <f t="shared" si="23"/>
        <v>-4.5000000000001705E-2</v>
      </c>
      <c r="S73" s="42">
        <f t="shared" si="23"/>
        <v>1.8000000000000682E-2</v>
      </c>
      <c r="T73" s="42">
        <f t="shared" si="23"/>
        <v>-4.0000000000006253E-2</v>
      </c>
      <c r="U73" s="42">
        <f t="shared" si="23"/>
        <v>3.9999999999999147E-2</v>
      </c>
      <c r="V73" s="42">
        <f t="shared" si="23"/>
        <v>3.9999999999999147E-2</v>
      </c>
      <c r="W73" s="42"/>
      <c r="X73" s="42"/>
    </row>
    <row r="74" spans="1:26" ht="33.75" customHeight="1" x14ac:dyDescent="0.25">
      <c r="A74" s="41"/>
      <c r="B74" s="42">
        <f>B72-B68</f>
        <v>0.12244897959183731</v>
      </c>
      <c r="C74" s="42">
        <f t="shared" si="23"/>
        <v>0.11224489795918657</v>
      </c>
      <c r="D74" s="42">
        <f t="shared" si="23"/>
        <v>0.12244897959183731</v>
      </c>
      <c r="E74" s="42">
        <f t="shared" si="23"/>
        <v>0.3571428571428612</v>
      </c>
      <c r="F74" s="42">
        <f t="shared" si="23"/>
        <v>0.10204081632650741</v>
      </c>
      <c r="G74" s="42">
        <f t="shared" si="23"/>
        <v>0.11224489795918657</v>
      </c>
      <c r="H74" s="42">
        <f t="shared" si="23"/>
        <v>0.11224489795918657</v>
      </c>
      <c r="I74" s="42">
        <f t="shared" si="23"/>
        <v>0.11501210653753446</v>
      </c>
      <c r="J74" s="42">
        <f t="shared" si="23"/>
        <v>8.353510895884142E-2</v>
      </c>
      <c r="K74" s="42">
        <f t="shared" si="23"/>
        <v>9.9273607748187942E-2</v>
      </c>
      <c r="L74" s="42">
        <f t="shared" si="23"/>
        <v>-0.1428571428571388</v>
      </c>
      <c r="M74" s="42">
        <f t="shared" si="23"/>
        <v>9.9273607748187942E-2</v>
      </c>
      <c r="N74" s="42">
        <f t="shared" si="23"/>
        <v>0.10344827586203564</v>
      </c>
      <c r="O74" s="42">
        <f t="shared" si="23"/>
        <v>0.11083743842362992</v>
      </c>
      <c r="P74" s="42">
        <f t="shared" si="23"/>
        <v>8.353510895884142E-2</v>
      </c>
      <c r="Q74" s="42">
        <f>Q72-Q68</f>
        <v>0.11501210653753446</v>
      </c>
      <c r="R74" s="42">
        <f t="shared" si="23"/>
        <v>0.11083743842365834</v>
      </c>
      <c r="S74" s="42">
        <f t="shared" si="23"/>
        <v>-0.1428571428571388</v>
      </c>
      <c r="T74" s="42">
        <f t="shared" si="23"/>
        <v>9.5238095238102005E-2</v>
      </c>
      <c r="U74" s="42">
        <f t="shared" si="23"/>
        <v>-9.5238095238073583E-2</v>
      </c>
      <c r="V74" s="42">
        <f t="shared" si="23"/>
        <v>-9.5238095238073583E-2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  <mergeCell ref="B36:G36"/>
    <mergeCell ref="O36:T36"/>
  </mergeCells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40"/>
  <dimension ref="A1:AE244"/>
  <sheetViews>
    <sheetView topLeftCell="A16" zoomScale="40" zoomScaleNormal="40" workbookViewId="0">
      <selection activeCell="F47" sqref="F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26</v>
      </c>
      <c r="Q11" s="1022"/>
      <c r="R11" s="6"/>
      <c r="S11" s="1" t="s">
        <v>6</v>
      </c>
      <c r="T11" s="95">
        <v>45556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77.099999999999994</v>
      </c>
      <c r="C18" s="125">
        <v>76.900000000000006</v>
      </c>
      <c r="D18" s="125">
        <v>76.2</v>
      </c>
      <c r="E18" s="125">
        <v>23.6</v>
      </c>
      <c r="F18" s="125">
        <v>76.099999999999994</v>
      </c>
      <c r="G18" s="125">
        <v>77.2</v>
      </c>
      <c r="H18" s="141">
        <v>75.3</v>
      </c>
      <c r="I18" s="181">
        <v>79.7</v>
      </c>
      <c r="J18" s="125">
        <v>78.599999999999994</v>
      </c>
      <c r="K18" s="125">
        <v>79.8</v>
      </c>
      <c r="L18" s="125">
        <v>23.1</v>
      </c>
      <c r="M18" s="125">
        <v>79.7</v>
      </c>
      <c r="N18" s="125">
        <v>77.8</v>
      </c>
      <c r="O18" s="355">
        <v>76.3</v>
      </c>
      <c r="P18" s="281">
        <v>81.7</v>
      </c>
      <c r="Q18" s="282">
        <v>81.7</v>
      </c>
      <c r="R18" s="282">
        <v>82.3</v>
      </c>
      <c r="S18" s="282">
        <v>25.3</v>
      </c>
      <c r="T18" s="282">
        <v>82.9</v>
      </c>
      <c r="U18" s="282">
        <v>80.3</v>
      </c>
      <c r="V18" s="284">
        <v>78.8</v>
      </c>
      <c r="W18" s="98">
        <f t="shared" ref="W18:W24" si="0">SUM(B18:V18)</f>
        <v>1490.3999999999999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77.099999999999994</v>
      </c>
      <c r="C19" s="19">
        <v>76.900000000000006</v>
      </c>
      <c r="D19" s="19">
        <v>76.2</v>
      </c>
      <c r="E19" s="19">
        <v>23.6</v>
      </c>
      <c r="F19" s="19">
        <v>76.099999999999994</v>
      </c>
      <c r="G19" s="19">
        <v>77.2</v>
      </c>
      <c r="H19" s="20">
        <v>75.3</v>
      </c>
      <c r="I19" s="61">
        <v>79.7</v>
      </c>
      <c r="J19" s="19">
        <v>78.599999999999994</v>
      </c>
      <c r="K19" s="19">
        <v>79.8</v>
      </c>
      <c r="L19" s="19">
        <v>23.1</v>
      </c>
      <c r="M19" s="19">
        <v>79.7</v>
      </c>
      <c r="N19" s="19">
        <v>77.8</v>
      </c>
      <c r="O19" s="284">
        <v>76.3</v>
      </c>
      <c r="P19" s="281">
        <v>81.7</v>
      </c>
      <c r="Q19" s="282">
        <v>81.7</v>
      </c>
      <c r="R19" s="282">
        <v>82.3</v>
      </c>
      <c r="S19" s="282">
        <v>25.3</v>
      </c>
      <c r="T19" s="282">
        <v>82.9</v>
      </c>
      <c r="U19" s="282">
        <v>80.3</v>
      </c>
      <c r="V19" s="284">
        <v>78.8</v>
      </c>
      <c r="W19" s="98">
        <f t="shared" si="0"/>
        <v>1490.3999999999999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78.2</v>
      </c>
      <c r="C20" s="19">
        <v>78.900000000000006</v>
      </c>
      <c r="D20" s="19">
        <v>78.3</v>
      </c>
      <c r="E20" s="19">
        <v>24.5</v>
      </c>
      <c r="F20" s="19">
        <v>77.900000000000006</v>
      </c>
      <c r="G20" s="19">
        <v>78.5</v>
      </c>
      <c r="H20" s="20">
        <v>77</v>
      </c>
      <c r="I20" s="61">
        <v>81.2</v>
      </c>
      <c r="J20" s="19">
        <v>81</v>
      </c>
      <c r="K20" s="19">
        <v>81.8</v>
      </c>
      <c r="L20" s="19">
        <v>23.9</v>
      </c>
      <c r="M20" s="19">
        <v>81.400000000000006</v>
      </c>
      <c r="N20" s="19">
        <v>79.400000000000006</v>
      </c>
      <c r="O20" s="284">
        <v>78.2</v>
      </c>
      <c r="P20" s="281">
        <v>83.7</v>
      </c>
      <c r="Q20" s="282">
        <v>83.7</v>
      </c>
      <c r="R20" s="282">
        <v>83.5</v>
      </c>
      <c r="S20" s="282">
        <v>25.7</v>
      </c>
      <c r="T20" s="282">
        <v>83.9</v>
      </c>
      <c r="U20" s="282">
        <v>82.3</v>
      </c>
      <c r="V20" s="284">
        <v>80.400000000000006</v>
      </c>
      <c r="W20" s="98">
        <f t="shared" si="0"/>
        <v>1523.4000000000003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78.2</v>
      </c>
      <c r="C21" s="19">
        <v>78.900000000000006</v>
      </c>
      <c r="D21" s="19">
        <v>78.3</v>
      </c>
      <c r="E21" s="19">
        <v>24.5</v>
      </c>
      <c r="F21" s="19">
        <v>77.900000000000006</v>
      </c>
      <c r="G21" s="19">
        <v>78.5</v>
      </c>
      <c r="H21" s="20">
        <v>77.099999999999994</v>
      </c>
      <c r="I21" s="61">
        <v>81.3</v>
      </c>
      <c r="J21" s="19">
        <v>81</v>
      </c>
      <c r="K21" s="19">
        <v>81.8</v>
      </c>
      <c r="L21" s="19">
        <v>23.9</v>
      </c>
      <c r="M21" s="19">
        <v>81.400000000000006</v>
      </c>
      <c r="N21" s="19">
        <v>79.400000000000006</v>
      </c>
      <c r="O21" s="284">
        <v>78.2</v>
      </c>
      <c r="P21" s="281">
        <v>83.7</v>
      </c>
      <c r="Q21" s="282">
        <v>83.7</v>
      </c>
      <c r="R21" s="282">
        <v>83.6</v>
      </c>
      <c r="S21" s="282">
        <v>25.7</v>
      </c>
      <c r="T21" s="282">
        <v>83.9</v>
      </c>
      <c r="U21" s="282">
        <v>82.3</v>
      </c>
      <c r="V21" s="284">
        <v>80.5</v>
      </c>
      <c r="W21" s="98">
        <f t="shared" si="0"/>
        <v>1523.8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78.2</v>
      </c>
      <c r="C22" s="19">
        <v>78.900000000000006</v>
      </c>
      <c r="D22" s="19">
        <v>78.3</v>
      </c>
      <c r="E22" s="19">
        <v>24.5</v>
      </c>
      <c r="F22" s="19">
        <v>77.900000000000006</v>
      </c>
      <c r="G22" s="19">
        <v>78.599999999999994</v>
      </c>
      <c r="H22" s="20">
        <v>77.099999999999994</v>
      </c>
      <c r="I22" s="61">
        <v>81.3</v>
      </c>
      <c r="J22" s="19">
        <v>81</v>
      </c>
      <c r="K22" s="19">
        <v>81.900000000000006</v>
      </c>
      <c r="L22" s="19">
        <v>23.9</v>
      </c>
      <c r="M22" s="19">
        <v>81.5</v>
      </c>
      <c r="N22" s="19">
        <v>79.400000000000006</v>
      </c>
      <c r="O22" s="284">
        <v>78.2</v>
      </c>
      <c r="P22" s="281">
        <v>83.7</v>
      </c>
      <c r="Q22" s="282">
        <v>83.7</v>
      </c>
      <c r="R22" s="282">
        <v>83.6</v>
      </c>
      <c r="S22" s="282">
        <v>25.7</v>
      </c>
      <c r="T22" s="282">
        <v>83.9</v>
      </c>
      <c r="U22" s="282">
        <v>82.3</v>
      </c>
      <c r="V22" s="284">
        <v>80.5</v>
      </c>
      <c r="W22" s="98">
        <f t="shared" si="0"/>
        <v>1524.1000000000001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78.3</v>
      </c>
      <c r="C23" s="19">
        <v>78.900000000000006</v>
      </c>
      <c r="D23" s="19">
        <v>78.3</v>
      </c>
      <c r="E23" s="19">
        <v>24.6</v>
      </c>
      <c r="F23" s="19">
        <v>78</v>
      </c>
      <c r="G23" s="19">
        <v>78.599999999999994</v>
      </c>
      <c r="H23" s="20">
        <v>77.099999999999994</v>
      </c>
      <c r="I23" s="61">
        <v>81.3</v>
      </c>
      <c r="J23" s="19">
        <v>81</v>
      </c>
      <c r="K23" s="19">
        <v>81.900000000000006</v>
      </c>
      <c r="L23" s="19">
        <v>23.9</v>
      </c>
      <c r="M23" s="19">
        <v>81.5</v>
      </c>
      <c r="N23" s="19">
        <v>79.5</v>
      </c>
      <c r="O23" s="284">
        <v>78.3</v>
      </c>
      <c r="P23" s="281">
        <v>83.7</v>
      </c>
      <c r="Q23" s="282">
        <v>83.7</v>
      </c>
      <c r="R23" s="282">
        <v>83.6</v>
      </c>
      <c r="S23" s="282">
        <v>25.7</v>
      </c>
      <c r="T23" s="282">
        <v>83.9</v>
      </c>
      <c r="U23" s="282">
        <v>82.3</v>
      </c>
      <c r="V23" s="284">
        <v>80.5</v>
      </c>
      <c r="W23" s="98">
        <f t="shared" si="0"/>
        <v>1524.6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485">
        <v>79.900000000000006</v>
      </c>
      <c r="C24" s="486">
        <v>80.599999999999994</v>
      </c>
      <c r="D24" s="486">
        <v>79.900000000000006</v>
      </c>
      <c r="E24" s="19">
        <v>24.5</v>
      </c>
      <c r="F24" s="19">
        <v>77.900000000000006</v>
      </c>
      <c r="G24" s="19">
        <v>78.2</v>
      </c>
      <c r="H24" s="20">
        <v>77.099999999999994</v>
      </c>
      <c r="I24" s="456">
        <v>83.1</v>
      </c>
      <c r="J24" s="486">
        <v>82.7</v>
      </c>
      <c r="K24" s="486">
        <v>83.7</v>
      </c>
      <c r="L24" s="486">
        <v>24.3</v>
      </c>
      <c r="M24" s="19">
        <v>81.3</v>
      </c>
      <c r="N24" s="19">
        <v>79.400000000000006</v>
      </c>
      <c r="O24" s="284">
        <v>78.2</v>
      </c>
      <c r="P24" s="485">
        <v>85.4</v>
      </c>
      <c r="Q24" s="486">
        <v>85.2</v>
      </c>
      <c r="R24" s="486">
        <v>85.2</v>
      </c>
      <c r="S24" s="486">
        <v>26</v>
      </c>
      <c r="T24" s="282">
        <v>83.9</v>
      </c>
      <c r="U24" s="486">
        <v>84.2</v>
      </c>
      <c r="V24" s="284">
        <v>80.5</v>
      </c>
      <c r="W24" s="98">
        <f t="shared" si="0"/>
        <v>1541.2000000000003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547</v>
      </c>
      <c r="C25" s="201">
        <f>SUM(C18:C24)</f>
        <v>550</v>
      </c>
      <c r="D25" s="201">
        <f t="shared" ref="D25:V25" si="1">SUM(D18:D24)</f>
        <v>545.5</v>
      </c>
      <c r="E25" s="201">
        <f t="shared" si="1"/>
        <v>169.8</v>
      </c>
      <c r="F25" s="201">
        <f t="shared" si="1"/>
        <v>541.79999999999995</v>
      </c>
      <c r="G25" s="201">
        <f t="shared" si="1"/>
        <v>546.80000000000007</v>
      </c>
      <c r="H25" s="229">
        <f t="shared" si="1"/>
        <v>536</v>
      </c>
      <c r="I25" s="225">
        <f t="shared" si="1"/>
        <v>567.6</v>
      </c>
      <c r="J25" s="201">
        <f t="shared" si="1"/>
        <v>563.9</v>
      </c>
      <c r="K25" s="201">
        <f t="shared" si="1"/>
        <v>570.70000000000005</v>
      </c>
      <c r="L25" s="201">
        <f t="shared" si="1"/>
        <v>166.10000000000002</v>
      </c>
      <c r="M25" s="201">
        <f t="shared" si="1"/>
        <v>566.5</v>
      </c>
      <c r="N25" s="201">
        <f t="shared" si="1"/>
        <v>552.69999999999993</v>
      </c>
      <c r="O25" s="229">
        <f t="shared" si="1"/>
        <v>543.70000000000005</v>
      </c>
      <c r="P25" s="122">
        <f t="shared" si="1"/>
        <v>583.6</v>
      </c>
      <c r="Q25" s="120">
        <f t="shared" si="1"/>
        <v>583.4</v>
      </c>
      <c r="R25" s="120">
        <f t="shared" si="1"/>
        <v>584.1</v>
      </c>
      <c r="S25" s="120">
        <f t="shared" si="1"/>
        <v>179.4</v>
      </c>
      <c r="T25" s="120">
        <f t="shared" si="1"/>
        <v>585.29999999999995</v>
      </c>
      <c r="U25" s="120">
        <f t="shared" si="1"/>
        <v>574</v>
      </c>
      <c r="V25" s="121">
        <f t="shared" si="1"/>
        <v>560</v>
      </c>
      <c r="W25" s="361">
        <f>SUM(W18:W24)</f>
        <v>10617.900000000001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134.5</v>
      </c>
      <c r="C26" s="488">
        <v>135</v>
      </c>
      <c r="D26" s="488">
        <v>135.9</v>
      </c>
      <c r="E26" s="24">
        <v>130.5</v>
      </c>
      <c r="F26" s="24">
        <v>131</v>
      </c>
      <c r="G26" s="24">
        <v>132.5</v>
      </c>
      <c r="H26" s="155">
        <v>130</v>
      </c>
      <c r="I26" s="487">
        <v>133.1</v>
      </c>
      <c r="J26" s="488">
        <v>135</v>
      </c>
      <c r="K26" s="488">
        <v>133.6</v>
      </c>
      <c r="L26" s="488">
        <v>130.30000000000001</v>
      </c>
      <c r="M26" s="24">
        <v>131</v>
      </c>
      <c r="N26" s="24">
        <v>128</v>
      </c>
      <c r="O26" s="155">
        <v>125.5</v>
      </c>
      <c r="P26" s="487">
        <v>135</v>
      </c>
      <c r="Q26" s="488">
        <v>134.9</v>
      </c>
      <c r="R26" s="488">
        <v>135.9</v>
      </c>
      <c r="S26" s="488">
        <v>135.9</v>
      </c>
      <c r="T26" s="24">
        <v>134</v>
      </c>
      <c r="U26" s="24">
        <v>133.1</v>
      </c>
      <c r="V26" s="25">
        <v>128</v>
      </c>
      <c r="W26" s="99">
        <f>((W25/W27)/7)*1000</f>
        <v>131.68181761809683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589</v>
      </c>
      <c r="D27" s="27">
        <v>579</v>
      </c>
      <c r="E27" s="27">
        <v>186</v>
      </c>
      <c r="F27" s="27">
        <v>591</v>
      </c>
      <c r="G27" s="27">
        <v>588</v>
      </c>
      <c r="H27" s="156">
        <v>589</v>
      </c>
      <c r="I27" s="26">
        <v>617</v>
      </c>
      <c r="J27" s="27">
        <v>604</v>
      </c>
      <c r="K27" s="27">
        <v>618</v>
      </c>
      <c r="L27" s="27">
        <v>184</v>
      </c>
      <c r="M27" s="27">
        <v>617</v>
      </c>
      <c r="N27" s="27">
        <v>617</v>
      </c>
      <c r="O27" s="156">
        <v>619</v>
      </c>
      <c r="P27" s="26">
        <v>625</v>
      </c>
      <c r="Q27" s="27">
        <v>624</v>
      </c>
      <c r="R27" s="27">
        <v>621</v>
      </c>
      <c r="S27" s="27">
        <v>190</v>
      </c>
      <c r="T27" s="27">
        <v>624</v>
      </c>
      <c r="U27" s="27">
        <v>624</v>
      </c>
      <c r="V27" s="28">
        <v>625</v>
      </c>
      <c r="W27" s="29">
        <f>SUM(B27:V27)</f>
        <v>11519</v>
      </c>
    </row>
    <row r="28" spans="1:31" s="2" customFormat="1" ht="33" customHeight="1" x14ac:dyDescent="0.25">
      <c r="A28" s="150" t="s">
        <v>13</v>
      </c>
      <c r="B28" s="358">
        <f>((((B26*7)*B27)/1000)-(B18+B19))/5</f>
        <v>79.880399999999995</v>
      </c>
      <c r="C28" s="31">
        <f t="shared" ref="C28:V28" si="2">((((C26*7)*C27)/1000)-(C18+C19))/5</f>
        <v>80.561000000000007</v>
      </c>
      <c r="D28" s="31">
        <f t="shared" si="2"/>
        <v>79.680540000000022</v>
      </c>
      <c r="E28" s="31">
        <f t="shared" si="2"/>
        <v>24.542200000000001</v>
      </c>
      <c r="F28" s="31">
        <f t="shared" si="2"/>
        <v>77.949399999999997</v>
      </c>
      <c r="G28" s="31">
        <f t="shared" si="2"/>
        <v>78.194000000000003</v>
      </c>
      <c r="H28" s="464">
        <f t="shared" si="2"/>
        <v>77.078000000000003</v>
      </c>
      <c r="I28" s="358">
        <f t="shared" si="2"/>
        <v>83.09178</v>
      </c>
      <c r="J28" s="31">
        <f t="shared" si="2"/>
        <v>82.715999999999994</v>
      </c>
      <c r="K28" s="31">
        <f t="shared" si="2"/>
        <v>83.670719999999989</v>
      </c>
      <c r="L28" s="31">
        <f t="shared" si="2"/>
        <v>24.325280000000006</v>
      </c>
      <c r="M28" s="31">
        <f t="shared" si="2"/>
        <v>81.277799999999999</v>
      </c>
      <c r="N28" s="31">
        <f t="shared" si="2"/>
        <v>79.446399999999997</v>
      </c>
      <c r="O28" s="464">
        <f t="shared" si="2"/>
        <v>78.23830000000001</v>
      </c>
      <c r="P28" s="30">
        <f t="shared" si="2"/>
        <v>85.445000000000007</v>
      </c>
      <c r="Q28" s="31">
        <f t="shared" si="2"/>
        <v>85.168640000000025</v>
      </c>
      <c r="R28" s="31">
        <f t="shared" si="2"/>
        <v>85.231460000000013</v>
      </c>
      <c r="S28" s="31">
        <f t="shared" si="2"/>
        <v>26.029400000000003</v>
      </c>
      <c r="T28" s="31">
        <f t="shared" si="2"/>
        <v>83.9024</v>
      </c>
      <c r="U28" s="31">
        <f t="shared" si="2"/>
        <v>84.156159999999971</v>
      </c>
      <c r="V28" s="32">
        <f t="shared" si="2"/>
        <v>80.47999999999999</v>
      </c>
      <c r="W28" s="362">
        <f>((W25*1000)/7)/W27</f>
        <v>131.68181761809683</v>
      </c>
    </row>
    <row r="29" spans="1:31" ht="33.75" customHeight="1" x14ac:dyDescent="0.25">
      <c r="A29" s="151" t="s">
        <v>14</v>
      </c>
      <c r="B29" s="281">
        <f>((B27*B26)*7)/1000</f>
        <v>553.60199999999998</v>
      </c>
      <c r="C29" s="282">
        <f>((C27*C26)*7)/1000</f>
        <v>556.60500000000002</v>
      </c>
      <c r="D29" s="282">
        <f t="shared" ref="D29:V29" si="3">((D27*D26)*7)/1000</f>
        <v>550.80270000000007</v>
      </c>
      <c r="E29" s="282">
        <f t="shared" si="3"/>
        <v>169.911</v>
      </c>
      <c r="F29" s="282">
        <f t="shared" si="3"/>
        <v>541.947</v>
      </c>
      <c r="G29" s="282">
        <f t="shared" si="3"/>
        <v>545.37</v>
      </c>
      <c r="H29" s="283">
        <f t="shared" si="3"/>
        <v>535.99</v>
      </c>
      <c r="I29" s="281">
        <f t="shared" si="3"/>
        <v>574.85890000000006</v>
      </c>
      <c r="J29" s="282">
        <f t="shared" si="3"/>
        <v>570.78</v>
      </c>
      <c r="K29" s="282">
        <f t="shared" si="3"/>
        <v>577.95359999999994</v>
      </c>
      <c r="L29" s="282">
        <f t="shared" si="3"/>
        <v>167.82640000000001</v>
      </c>
      <c r="M29" s="282">
        <f t="shared" si="3"/>
        <v>565.78899999999999</v>
      </c>
      <c r="N29" s="282">
        <f t="shared" si="3"/>
        <v>552.83199999999999</v>
      </c>
      <c r="O29" s="283">
        <f t="shared" si="3"/>
        <v>543.79150000000004</v>
      </c>
      <c r="P29" s="281">
        <f t="shared" si="3"/>
        <v>590.625</v>
      </c>
      <c r="Q29" s="282">
        <f t="shared" si="3"/>
        <v>589.24320000000012</v>
      </c>
      <c r="R29" s="282">
        <f t="shared" si="3"/>
        <v>590.7573000000001</v>
      </c>
      <c r="S29" s="282">
        <f t="shared" si="3"/>
        <v>180.74700000000001</v>
      </c>
      <c r="T29" s="282">
        <f t="shared" si="3"/>
        <v>585.31200000000001</v>
      </c>
      <c r="U29" s="282">
        <f t="shared" si="3"/>
        <v>581.38079999999991</v>
      </c>
      <c r="V29" s="284">
        <f t="shared" si="3"/>
        <v>560</v>
      </c>
      <c r="W29" s="36"/>
    </row>
    <row r="30" spans="1:31" ht="33.75" customHeight="1" thickBot="1" x14ac:dyDescent="0.3">
      <c r="A30" s="152" t="s">
        <v>15</v>
      </c>
      <c r="B30" s="37">
        <f>+(B25/B27)/7*1000</f>
        <v>132.89601554907676</v>
      </c>
      <c r="C30" s="38">
        <f t="shared" ref="C30:V30" si="4">+(C25/C27)/7*1000</f>
        <v>133.39801115692455</v>
      </c>
      <c r="D30" s="38">
        <f t="shared" si="4"/>
        <v>134.59166049839624</v>
      </c>
      <c r="E30" s="38">
        <f t="shared" si="4"/>
        <v>130.41474654377879</v>
      </c>
      <c r="F30" s="38">
        <f t="shared" si="4"/>
        <v>130.96446700507613</v>
      </c>
      <c r="G30" s="38">
        <f t="shared" si="4"/>
        <v>132.84742468415939</v>
      </c>
      <c r="H30" s="158">
        <f t="shared" si="4"/>
        <v>130.00242541838466</v>
      </c>
      <c r="I30" s="37">
        <f t="shared" si="4"/>
        <v>131.41931002546886</v>
      </c>
      <c r="J30" s="38">
        <f t="shared" si="4"/>
        <v>133.37275307473982</v>
      </c>
      <c r="K30" s="38">
        <f t="shared" si="4"/>
        <v>131.92325473878873</v>
      </c>
      <c r="L30" s="38">
        <f t="shared" si="4"/>
        <v>128.95962732919256</v>
      </c>
      <c r="M30" s="38">
        <f t="shared" si="4"/>
        <v>131.16462144014818</v>
      </c>
      <c r="N30" s="38">
        <f t="shared" si="4"/>
        <v>127.96943736976149</v>
      </c>
      <c r="O30" s="158">
        <f t="shared" si="4"/>
        <v>125.47888299099932</v>
      </c>
      <c r="P30" s="37">
        <f t="shared" si="4"/>
        <v>133.39428571428573</v>
      </c>
      <c r="Q30" s="38">
        <f t="shared" si="4"/>
        <v>133.56227106227107</v>
      </c>
      <c r="R30" s="38">
        <f t="shared" si="4"/>
        <v>134.36853002070396</v>
      </c>
      <c r="S30" s="38">
        <f t="shared" si="4"/>
        <v>134.88721804511277</v>
      </c>
      <c r="T30" s="38">
        <f t="shared" si="4"/>
        <v>133.99725274725273</v>
      </c>
      <c r="U30" s="38">
        <f t="shared" si="4"/>
        <v>131.41025641025641</v>
      </c>
      <c r="V30" s="39">
        <f t="shared" si="4"/>
        <v>128</v>
      </c>
      <c r="W30" s="40"/>
    </row>
    <row r="31" spans="1:31" ht="33.75" customHeight="1" x14ac:dyDescent="0.25">
      <c r="A31" s="41"/>
      <c r="B31" s="42">
        <f>B29-B25</f>
        <v>6.6019999999999754</v>
      </c>
      <c r="C31" s="42">
        <f t="shared" ref="C31:V32" si="5">C29-C25</f>
        <v>6.6050000000000182</v>
      </c>
      <c r="D31" s="42">
        <f t="shared" si="5"/>
        <v>5.3027000000000726</v>
      </c>
      <c r="E31" s="42">
        <f t="shared" si="5"/>
        <v>0.11099999999999</v>
      </c>
      <c r="F31" s="42">
        <f t="shared" si="5"/>
        <v>0.1470000000000482</v>
      </c>
      <c r="G31" s="42">
        <f t="shared" si="5"/>
        <v>-1.4300000000000637</v>
      </c>
      <c r="H31" s="42">
        <f t="shared" si="5"/>
        <v>-9.9999999999909051E-3</v>
      </c>
      <c r="I31" s="42">
        <f t="shared" si="5"/>
        <v>7.2589000000000397</v>
      </c>
      <c r="J31" s="42">
        <f t="shared" si="5"/>
        <v>6.8799999999999955</v>
      </c>
      <c r="K31" s="42">
        <f t="shared" si="5"/>
        <v>7.2535999999998921</v>
      </c>
      <c r="L31" s="42">
        <f t="shared" si="5"/>
        <v>1.7263999999999839</v>
      </c>
      <c r="M31" s="42">
        <f t="shared" si="5"/>
        <v>-0.71100000000001273</v>
      </c>
      <c r="N31" s="42">
        <f t="shared" si="5"/>
        <v>0.13200000000006185</v>
      </c>
      <c r="O31" s="42">
        <f t="shared" si="5"/>
        <v>9.1499999999996362E-2</v>
      </c>
      <c r="P31" s="42">
        <f t="shared" si="5"/>
        <v>7.0249999999999773</v>
      </c>
      <c r="Q31" s="42">
        <f t="shared" si="5"/>
        <v>5.8432000000001381</v>
      </c>
      <c r="R31" s="42">
        <f t="shared" si="5"/>
        <v>6.6573000000000775</v>
      </c>
      <c r="S31" s="42">
        <f t="shared" si="5"/>
        <v>1.3470000000000084</v>
      </c>
      <c r="T31" s="42">
        <f t="shared" si="5"/>
        <v>1.2000000000057298E-2</v>
      </c>
      <c r="U31" s="42">
        <f t="shared" si="5"/>
        <v>7.3807999999999083</v>
      </c>
      <c r="V31" s="42">
        <f t="shared" si="5"/>
        <v>0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-1.6039844509232353</v>
      </c>
      <c r="C32" s="42">
        <f t="shared" si="5"/>
        <v>-1.6019888430754463</v>
      </c>
      <c r="D32" s="42">
        <f t="shared" si="5"/>
        <v>-1.3083395016037684</v>
      </c>
      <c r="E32" s="42">
        <f t="shared" si="5"/>
        <v>-8.5253456221209944E-2</v>
      </c>
      <c r="F32" s="42">
        <f t="shared" si="5"/>
        <v>-3.553299492386941E-2</v>
      </c>
      <c r="G32" s="42">
        <f t="shared" si="5"/>
        <v>0.34742468415939243</v>
      </c>
      <c r="H32" s="42">
        <f t="shared" si="5"/>
        <v>2.4254183846608157E-3</v>
      </c>
      <c r="I32" s="42">
        <f t="shared" si="5"/>
        <v>-1.6806899745311341</v>
      </c>
      <c r="J32" s="42">
        <f t="shared" si="5"/>
        <v>-1.6272469252601809</v>
      </c>
      <c r="K32" s="42">
        <f t="shared" si="5"/>
        <v>-1.6767452612112663</v>
      </c>
      <c r="L32" s="42">
        <f t="shared" si="5"/>
        <v>-1.3403726708074544</v>
      </c>
      <c r="M32" s="42">
        <f t="shared" si="5"/>
        <v>0.16462144014818136</v>
      </c>
      <c r="N32" s="42">
        <f t="shared" si="5"/>
        <v>-3.0562630238506472E-2</v>
      </c>
      <c r="O32" s="42">
        <f t="shared" si="5"/>
        <v>-2.1117009000676035E-2</v>
      </c>
      <c r="P32" s="42">
        <f t="shared" si="5"/>
        <v>-1.6057142857142708</v>
      </c>
      <c r="Q32" s="42">
        <f>Q30-Q26</f>
        <v>-1.3377289377289401</v>
      </c>
      <c r="R32" s="42">
        <f t="shared" si="5"/>
        <v>-1.5314699792960482</v>
      </c>
      <c r="S32" s="42">
        <f t="shared" si="5"/>
        <v>-1.012781954887231</v>
      </c>
      <c r="T32" s="42">
        <f t="shared" si="5"/>
        <v>-2.7472527472696129E-3</v>
      </c>
      <c r="U32" s="42">
        <f t="shared" si="5"/>
        <v>-1.6897435897435855</v>
      </c>
      <c r="V32" s="42">
        <f t="shared" si="5"/>
        <v>0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80.7</v>
      </c>
      <c r="C39" s="125">
        <v>81.099999999999994</v>
      </c>
      <c r="D39" s="125">
        <v>24.8</v>
      </c>
      <c r="E39" s="125">
        <v>82.5</v>
      </c>
      <c r="F39" s="125">
        <v>82.7</v>
      </c>
      <c r="G39" s="141">
        <v>83</v>
      </c>
      <c r="H39" s="326">
        <f t="shared" ref="H39:H46" si="6">SUM(B39:G39)</f>
        <v>434.8</v>
      </c>
      <c r="I39" s="49"/>
      <c r="J39" s="42"/>
      <c r="K39" s="42"/>
      <c r="L39" s="42"/>
      <c r="M39" s="2"/>
      <c r="N39" s="146" t="s">
        <v>51</v>
      </c>
      <c r="O39" s="124">
        <v>8.1999999999999993</v>
      </c>
      <c r="P39" s="125">
        <v>8.1999999999999993</v>
      </c>
      <c r="Q39" s="125">
        <v>2.4</v>
      </c>
      <c r="R39" s="125">
        <v>8.1999999999999993</v>
      </c>
      <c r="S39" s="125">
        <v>8.3000000000000007</v>
      </c>
      <c r="T39" s="125">
        <v>8.3000000000000007</v>
      </c>
      <c r="U39" s="326">
        <f t="shared" ref="U39:U46" si="7">SUM(O39:T39)</f>
        <v>43.599999999999994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80.7</v>
      </c>
      <c r="C40" s="19">
        <v>81.099999999999994</v>
      </c>
      <c r="D40" s="19">
        <v>24.8</v>
      </c>
      <c r="E40" s="19">
        <v>82.5</v>
      </c>
      <c r="F40" s="19">
        <v>82.7</v>
      </c>
      <c r="G40" s="20">
        <v>83</v>
      </c>
      <c r="H40" s="264">
        <f t="shared" si="6"/>
        <v>434.8</v>
      </c>
      <c r="I40" s="309"/>
      <c r="J40" s="42"/>
      <c r="K40" s="42"/>
      <c r="L40" s="42"/>
      <c r="M40" s="2"/>
      <c r="N40" s="146" t="s">
        <v>24</v>
      </c>
      <c r="O40" s="18">
        <v>8.1999999999999993</v>
      </c>
      <c r="P40" s="19">
        <v>8.1999999999999993</v>
      </c>
      <c r="Q40" s="19">
        <v>2.4</v>
      </c>
      <c r="R40" s="19">
        <v>8.1999999999999993</v>
      </c>
      <c r="S40" s="19">
        <v>8.3000000000000007</v>
      </c>
      <c r="T40" s="19">
        <v>8.3000000000000007</v>
      </c>
      <c r="U40" s="264">
        <f t="shared" si="7"/>
        <v>43.599999999999994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81.900000000000006</v>
      </c>
      <c r="C41" s="19">
        <v>81.900000000000006</v>
      </c>
      <c r="D41" s="19">
        <v>25</v>
      </c>
      <c r="E41" s="19">
        <v>83.2</v>
      </c>
      <c r="F41" s="19">
        <v>82.9</v>
      </c>
      <c r="G41" s="20">
        <v>83.6</v>
      </c>
      <c r="H41" s="264">
        <f t="shared" si="6"/>
        <v>438.5</v>
      </c>
      <c r="I41" s="49"/>
      <c r="J41" s="196"/>
      <c r="K41" s="196"/>
      <c r="L41" s="196"/>
      <c r="M41" s="2"/>
      <c r="N41" s="146" t="s">
        <v>20</v>
      </c>
      <c r="O41" s="18">
        <v>8.1999999999999993</v>
      </c>
      <c r="P41" s="19">
        <v>7.8</v>
      </c>
      <c r="Q41" s="19">
        <v>2.4</v>
      </c>
      <c r="R41" s="19">
        <v>8.1</v>
      </c>
      <c r="S41" s="19">
        <v>7.9</v>
      </c>
      <c r="T41" s="19">
        <v>8.1</v>
      </c>
      <c r="U41" s="264">
        <f t="shared" si="7"/>
        <v>42.5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</v>
      </c>
      <c r="D42" s="19">
        <v>25</v>
      </c>
      <c r="E42" s="19">
        <v>83.2</v>
      </c>
      <c r="F42" s="19">
        <v>82.9</v>
      </c>
      <c r="G42" s="20">
        <v>83.6</v>
      </c>
      <c r="H42" s="264">
        <f t="shared" si="6"/>
        <v>438.6</v>
      </c>
      <c r="I42" s="49"/>
      <c r="J42" s="2"/>
      <c r="K42" s="2"/>
      <c r="L42" s="2"/>
      <c r="M42" s="2"/>
      <c r="N42" s="146" t="s">
        <v>28</v>
      </c>
      <c r="O42" s="18">
        <v>8.1999999999999993</v>
      </c>
      <c r="P42" s="19">
        <v>7.8</v>
      </c>
      <c r="Q42" s="19">
        <v>2.4</v>
      </c>
      <c r="R42" s="19">
        <v>8.1</v>
      </c>
      <c r="S42" s="19">
        <v>7.9</v>
      </c>
      <c r="T42" s="19">
        <v>8.1</v>
      </c>
      <c r="U42" s="264">
        <f t="shared" si="7"/>
        <v>42.5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82</v>
      </c>
      <c r="C43" s="19">
        <v>82</v>
      </c>
      <c r="D43" s="19">
        <v>24.8</v>
      </c>
      <c r="E43" s="19">
        <v>83</v>
      </c>
      <c r="F43" s="19">
        <v>82.9</v>
      </c>
      <c r="G43" s="20">
        <v>83.6</v>
      </c>
      <c r="H43" s="264">
        <f t="shared" si="6"/>
        <v>438.30000000000007</v>
      </c>
      <c r="I43" s="49"/>
      <c r="J43" s="222"/>
      <c r="K43" s="222"/>
      <c r="L43" s="222"/>
      <c r="M43" s="2"/>
      <c r="N43" s="146" t="s">
        <v>21</v>
      </c>
      <c r="O43" s="18">
        <v>7.8</v>
      </c>
      <c r="P43" s="19">
        <v>7.7</v>
      </c>
      <c r="Q43" s="19">
        <v>2.4</v>
      </c>
      <c r="R43" s="19">
        <v>8.1</v>
      </c>
      <c r="S43" s="19">
        <v>7.7</v>
      </c>
      <c r="T43" s="19">
        <v>7.9</v>
      </c>
      <c r="U43" s="264">
        <f t="shared" si="7"/>
        <v>41.6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81.8</v>
      </c>
      <c r="C44" s="19">
        <v>81.8</v>
      </c>
      <c r="D44" s="19">
        <v>24.8</v>
      </c>
      <c r="E44" s="19">
        <v>82.8</v>
      </c>
      <c r="F44" s="19">
        <v>82.9</v>
      </c>
      <c r="G44" s="20">
        <v>83.4</v>
      </c>
      <c r="H44" s="264">
        <f t="shared" si="6"/>
        <v>437.5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7.7</v>
      </c>
      <c r="Q44" s="19">
        <v>2.4</v>
      </c>
      <c r="R44" s="19">
        <v>7.5</v>
      </c>
      <c r="S44" s="19">
        <v>7.7</v>
      </c>
      <c r="T44" s="19">
        <v>7.9</v>
      </c>
      <c r="U44" s="264">
        <f t="shared" si="7"/>
        <v>40.799999999999997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8">
        <v>81.8</v>
      </c>
      <c r="C45" s="19">
        <v>81.8</v>
      </c>
      <c r="D45" s="19">
        <v>24.8</v>
      </c>
      <c r="E45" s="19">
        <v>82.6</v>
      </c>
      <c r="F45" s="19">
        <v>82.9</v>
      </c>
      <c r="G45" s="20">
        <v>83.4</v>
      </c>
      <c r="H45" s="265">
        <f t="shared" si="6"/>
        <v>437.29999999999995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7.5</v>
      </c>
      <c r="Q45" s="19">
        <v>2.4</v>
      </c>
      <c r="R45" s="19">
        <v>7.3</v>
      </c>
      <c r="S45" s="19">
        <v>7.3</v>
      </c>
      <c r="T45" s="19">
        <v>7.7</v>
      </c>
      <c r="U45" s="264">
        <f t="shared" si="7"/>
        <v>39.6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570.80000000000007</v>
      </c>
      <c r="C46" s="120">
        <f t="shared" si="8"/>
        <v>571.70000000000005</v>
      </c>
      <c r="D46" s="120">
        <f t="shared" si="8"/>
        <v>174</v>
      </c>
      <c r="E46" s="120">
        <f t="shared" si="8"/>
        <v>579.79999999999995</v>
      </c>
      <c r="F46" s="120">
        <f t="shared" si="8"/>
        <v>579.9</v>
      </c>
      <c r="G46" s="120">
        <f t="shared" si="8"/>
        <v>583.59999999999991</v>
      </c>
      <c r="H46" s="275">
        <f t="shared" si="6"/>
        <v>3059.7999999999997</v>
      </c>
      <c r="I46" s="49"/>
      <c r="J46" s="42"/>
      <c r="K46" s="42"/>
      <c r="L46" s="42"/>
      <c r="N46" s="145" t="s">
        <v>9</v>
      </c>
      <c r="O46" s="122">
        <f t="shared" ref="O46:T46" si="9">SUM(O39:O45)</f>
        <v>55.599999999999994</v>
      </c>
      <c r="P46" s="120">
        <f t="shared" si="9"/>
        <v>54.900000000000006</v>
      </c>
      <c r="Q46" s="120">
        <f t="shared" si="9"/>
        <v>16.8</v>
      </c>
      <c r="R46" s="120">
        <f t="shared" si="9"/>
        <v>55.5</v>
      </c>
      <c r="S46" s="120">
        <f t="shared" si="9"/>
        <v>55.1</v>
      </c>
      <c r="T46" s="120">
        <f t="shared" si="9"/>
        <v>56.300000000000004</v>
      </c>
      <c r="U46" s="326">
        <f t="shared" si="7"/>
        <v>294.2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128.5</v>
      </c>
      <c r="C47" s="24">
        <v>128.5</v>
      </c>
      <c r="D47" s="24">
        <v>130</v>
      </c>
      <c r="E47" s="24">
        <v>130.5</v>
      </c>
      <c r="F47" s="24">
        <v>130.5</v>
      </c>
      <c r="G47" s="24">
        <v>131</v>
      </c>
      <c r="H47" s="128">
        <f>+((H46/H48)/7)*1000</f>
        <v>129.93884830983521</v>
      </c>
      <c r="I47" s="50"/>
      <c r="J47" s="49"/>
      <c r="K47" s="49"/>
      <c r="L47" s="49"/>
      <c r="N47" s="453" t="s">
        <v>11</v>
      </c>
      <c r="O47" s="23">
        <v>141.5</v>
      </c>
      <c r="P47" s="24">
        <v>142</v>
      </c>
      <c r="Q47" s="24">
        <v>142</v>
      </c>
      <c r="R47" s="24">
        <v>142.5</v>
      </c>
      <c r="S47" s="24">
        <v>143</v>
      </c>
      <c r="T47" s="24">
        <v>143.5</v>
      </c>
      <c r="U47" s="234">
        <f>+((U46/U48)/7)*1000</f>
        <v>146.95304695304696</v>
      </c>
      <c r="V47" s="50"/>
    </row>
    <row r="48" spans="1:31" ht="33.75" customHeight="1" x14ac:dyDescent="0.25">
      <c r="A48" s="149" t="s">
        <v>12</v>
      </c>
      <c r="B48" s="26">
        <v>634</v>
      </c>
      <c r="C48" s="27">
        <v>635</v>
      </c>
      <c r="D48" s="27">
        <v>191</v>
      </c>
      <c r="E48" s="27">
        <v>633</v>
      </c>
      <c r="F48" s="27">
        <v>635</v>
      </c>
      <c r="G48" s="27">
        <v>636</v>
      </c>
      <c r="H48" s="129">
        <f>SUM(B48:G48)</f>
        <v>3364</v>
      </c>
      <c r="I48" s="41"/>
      <c r="J48" s="41"/>
      <c r="K48" s="41"/>
      <c r="L48" s="49"/>
      <c r="M48" s="51"/>
      <c r="N48" s="149" t="s">
        <v>12</v>
      </c>
      <c r="O48" s="241">
        <v>54</v>
      </c>
      <c r="P48" s="278">
        <v>54</v>
      </c>
      <c r="Q48" s="278">
        <v>17</v>
      </c>
      <c r="R48" s="278">
        <v>53</v>
      </c>
      <c r="S48" s="278">
        <v>53</v>
      </c>
      <c r="T48" s="278">
        <v>55</v>
      </c>
      <c r="U48" s="235">
        <f>SUM(O48:T48)</f>
        <v>286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81.776600000000002</v>
      </c>
      <c r="C49" s="31">
        <f t="shared" si="10"/>
        <v>81.796500000000009</v>
      </c>
      <c r="D49" s="31">
        <f t="shared" si="10"/>
        <v>24.842000000000002</v>
      </c>
      <c r="E49" s="31">
        <f t="shared" si="10"/>
        <v>82.649100000000004</v>
      </c>
      <c r="F49" s="31">
        <f t="shared" si="10"/>
        <v>82.9345</v>
      </c>
      <c r="G49" s="31">
        <f t="shared" si="10"/>
        <v>83.442399999999992</v>
      </c>
      <c r="H49" s="130">
        <f>((H46*1000)/H48)/7</f>
        <v>129.93884830983521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7.4174000000000007</v>
      </c>
      <c r="P49" s="31">
        <f t="shared" si="11"/>
        <v>7.4552000000000005</v>
      </c>
      <c r="Q49" s="31">
        <f t="shared" si="11"/>
        <v>2.4196</v>
      </c>
      <c r="R49" s="31">
        <f t="shared" si="11"/>
        <v>7.2934999999999999</v>
      </c>
      <c r="S49" s="31">
        <f t="shared" si="11"/>
        <v>7.2905999999999995</v>
      </c>
      <c r="T49" s="31">
        <f t="shared" si="11"/>
        <v>7.7294999999999998</v>
      </c>
      <c r="U49" s="253">
        <f>((U46*1000)/U48)/7</f>
        <v>146.95304695304694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570.28300000000002</v>
      </c>
      <c r="C50" s="282">
        <f t="shared" si="12"/>
        <v>571.1825</v>
      </c>
      <c r="D50" s="282">
        <f t="shared" si="12"/>
        <v>173.81</v>
      </c>
      <c r="E50" s="282">
        <f t="shared" si="12"/>
        <v>578.24549999999999</v>
      </c>
      <c r="F50" s="282">
        <f t="shared" si="12"/>
        <v>580.07249999999999</v>
      </c>
      <c r="G50" s="282">
        <f t="shared" si="12"/>
        <v>583.21199999999999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53.487000000000002</v>
      </c>
      <c r="P50" s="282">
        <f t="shared" si="13"/>
        <v>53.676000000000002</v>
      </c>
      <c r="Q50" s="282">
        <f t="shared" si="13"/>
        <v>16.898</v>
      </c>
      <c r="R50" s="282">
        <f t="shared" si="13"/>
        <v>52.8675</v>
      </c>
      <c r="S50" s="282">
        <f t="shared" si="13"/>
        <v>53.052999999999997</v>
      </c>
      <c r="T50" s="282">
        <f t="shared" si="13"/>
        <v>55.247500000000002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128.61649391617848</v>
      </c>
      <c r="C51" s="38">
        <f t="shared" si="14"/>
        <v>128.61642294713164</v>
      </c>
      <c r="D51" s="38">
        <f t="shared" si="14"/>
        <v>130.14210919970083</v>
      </c>
      <c r="E51" s="38">
        <f t="shared" si="14"/>
        <v>130.850823741819</v>
      </c>
      <c r="F51" s="38">
        <f t="shared" si="14"/>
        <v>130.46119235095614</v>
      </c>
      <c r="G51" s="38">
        <f t="shared" si="14"/>
        <v>131.0871518418688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147.08994708994709</v>
      </c>
      <c r="P51" s="38">
        <f t="shared" si="15"/>
        <v>145.23809523809524</v>
      </c>
      <c r="Q51" s="38">
        <f t="shared" si="15"/>
        <v>141.1764705882353</v>
      </c>
      <c r="R51" s="38">
        <f t="shared" si="15"/>
        <v>149.59568733153642</v>
      </c>
      <c r="S51" s="38">
        <f t="shared" si="15"/>
        <v>148.51752021563345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-0.51700000000005275</v>
      </c>
      <c r="C52" s="42">
        <f t="shared" ref="C52:G53" si="16">C50-C46</f>
        <v>-0.51750000000004093</v>
      </c>
      <c r="D52" s="42">
        <f t="shared" si="16"/>
        <v>-0.18999999999999773</v>
      </c>
      <c r="E52" s="42">
        <f t="shared" si="16"/>
        <v>-1.5544999999999618</v>
      </c>
      <c r="F52" s="42">
        <f t="shared" si="16"/>
        <v>0.17250000000001364</v>
      </c>
      <c r="G52" s="42">
        <f t="shared" si="16"/>
        <v>-0.38799999999991996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-2.1129999999999924</v>
      </c>
      <c r="P52" s="42">
        <f t="shared" si="17"/>
        <v>-1.2240000000000038</v>
      </c>
      <c r="Q52" s="42">
        <f t="shared" si="17"/>
        <v>9.7999999999998977E-2</v>
      </c>
      <c r="R52" s="42">
        <f t="shared" si="17"/>
        <v>-2.6325000000000003</v>
      </c>
      <c r="S52" s="42">
        <f t="shared" si="17"/>
        <v>-2.0470000000000041</v>
      </c>
      <c r="T52" s="42">
        <f t="shared" si="17"/>
        <v>-1.052500000000002</v>
      </c>
    </row>
    <row r="53" spans="1:30" ht="33.75" customHeight="1" x14ac:dyDescent="0.25">
      <c r="A53" s="41"/>
      <c r="B53" s="42">
        <f>B51-B47</f>
        <v>0.11649391617848437</v>
      </c>
      <c r="C53" s="42">
        <f t="shared" si="16"/>
        <v>0.11642294713163892</v>
      </c>
      <c r="D53" s="42">
        <f t="shared" si="16"/>
        <v>0.14210919970082614</v>
      </c>
      <c r="E53" s="42">
        <f t="shared" si="16"/>
        <v>0.35082374181899922</v>
      </c>
      <c r="F53" s="42">
        <f t="shared" si="16"/>
        <v>-3.8807649043860692E-2</v>
      </c>
      <c r="G53" s="42">
        <f t="shared" si="16"/>
        <v>8.7151841868802649E-2</v>
      </c>
      <c r="I53" s="2"/>
      <c r="J53" s="2"/>
      <c r="K53" s="45"/>
      <c r="L53" s="41"/>
      <c r="M53" s="42"/>
      <c r="N53" s="42"/>
      <c r="O53" s="42">
        <f t="shared" si="17"/>
        <v>5.5899470899470884</v>
      </c>
      <c r="P53" s="42">
        <f t="shared" si="17"/>
        <v>3.2380952380952408</v>
      </c>
      <c r="Q53" s="42">
        <f t="shared" si="17"/>
        <v>-0.82352941176469585</v>
      </c>
      <c r="R53" s="42">
        <f t="shared" si="17"/>
        <v>7.0956873315364248</v>
      </c>
      <c r="S53" s="42">
        <f t="shared" si="17"/>
        <v>5.5175202156334535</v>
      </c>
      <c r="T53" s="42">
        <f t="shared" si="17"/>
        <v>2.7337662337662323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8"/>
      <c r="P56" s="1018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</v>
      </c>
      <c r="D60" s="19">
        <v>8.1</v>
      </c>
      <c r="E60" s="19">
        <v>2.4</v>
      </c>
      <c r="F60" s="19">
        <v>8.1</v>
      </c>
      <c r="G60" s="19">
        <v>8.1</v>
      </c>
      <c r="H60" s="104">
        <v>8.1</v>
      </c>
      <c r="I60" s="266">
        <v>8.5</v>
      </c>
      <c r="J60" s="267">
        <v>8.5</v>
      </c>
      <c r="K60" s="267">
        <v>8.5</v>
      </c>
      <c r="L60" s="267">
        <v>2.6</v>
      </c>
      <c r="M60" s="267">
        <v>8.5</v>
      </c>
      <c r="N60" s="267">
        <v>8.4</v>
      </c>
      <c r="O60" s="474">
        <v>8.3000000000000007</v>
      </c>
      <c r="P60" s="281">
        <v>8.5</v>
      </c>
      <c r="Q60" s="282">
        <v>8.5</v>
      </c>
      <c r="R60" s="282">
        <v>8.4</v>
      </c>
      <c r="S60" s="282">
        <v>2.6</v>
      </c>
      <c r="T60" s="282">
        <v>8.6999999999999993</v>
      </c>
      <c r="U60" s="282">
        <v>8.6</v>
      </c>
      <c r="V60" s="282">
        <v>8.6</v>
      </c>
      <c r="W60" s="98">
        <f t="shared" ref="W60:W66" si="18">SUM(B60:V60)</f>
        <v>158.19999999999996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</v>
      </c>
      <c r="D61" s="19">
        <v>8.1</v>
      </c>
      <c r="E61" s="19">
        <v>2.4</v>
      </c>
      <c r="F61" s="19">
        <v>8.1</v>
      </c>
      <c r="G61" s="19">
        <v>8.1</v>
      </c>
      <c r="H61" s="104">
        <v>8.1</v>
      </c>
      <c r="I61" s="266">
        <v>8.5</v>
      </c>
      <c r="J61" s="267">
        <v>8.5</v>
      </c>
      <c r="K61" s="267">
        <v>8.5</v>
      </c>
      <c r="L61" s="267">
        <v>2.6</v>
      </c>
      <c r="M61" s="267">
        <v>8.5</v>
      </c>
      <c r="N61" s="267">
        <v>8.4</v>
      </c>
      <c r="O61" s="474">
        <v>8.3000000000000007</v>
      </c>
      <c r="P61" s="281">
        <v>8.5</v>
      </c>
      <c r="Q61" s="282">
        <v>8.5</v>
      </c>
      <c r="R61" s="282">
        <v>8.4</v>
      </c>
      <c r="S61" s="282">
        <v>2.6</v>
      </c>
      <c r="T61" s="282">
        <v>8.6999999999999993</v>
      </c>
      <c r="U61" s="282">
        <v>8.6</v>
      </c>
      <c r="V61" s="282">
        <v>8.6</v>
      </c>
      <c r="W61" s="98">
        <f t="shared" si="18"/>
        <v>158.19999999999996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</v>
      </c>
      <c r="C62" s="19">
        <v>8.1999999999999993</v>
      </c>
      <c r="D62" s="19">
        <v>8.1999999999999993</v>
      </c>
      <c r="E62" s="19">
        <v>2.5</v>
      </c>
      <c r="F62" s="19">
        <v>8</v>
      </c>
      <c r="G62" s="19">
        <v>8.1999999999999993</v>
      </c>
      <c r="H62" s="104">
        <v>8.1999999999999993</v>
      </c>
      <c r="I62" s="18">
        <v>8.6</v>
      </c>
      <c r="J62" s="19">
        <v>8.6999999999999993</v>
      </c>
      <c r="K62" s="19">
        <v>8.6999999999999993</v>
      </c>
      <c r="L62" s="267">
        <v>2.6</v>
      </c>
      <c r="M62" s="267">
        <v>8.6999999999999993</v>
      </c>
      <c r="N62" s="19">
        <v>8.5</v>
      </c>
      <c r="O62" s="474">
        <v>8.5</v>
      </c>
      <c r="P62" s="281">
        <v>8.6999999999999993</v>
      </c>
      <c r="Q62" s="282">
        <v>8.6</v>
      </c>
      <c r="R62" s="282">
        <v>8.5</v>
      </c>
      <c r="S62" s="282">
        <v>2.6</v>
      </c>
      <c r="T62" s="282">
        <v>8.6999999999999993</v>
      </c>
      <c r="U62" s="282">
        <v>8.6999999999999993</v>
      </c>
      <c r="V62" s="282">
        <v>8.5</v>
      </c>
      <c r="W62" s="98">
        <f t="shared" si="18"/>
        <v>159.89999999999995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</v>
      </c>
      <c r="C63" s="19">
        <v>8.1999999999999993</v>
      </c>
      <c r="D63" s="19">
        <v>8.1999999999999993</v>
      </c>
      <c r="E63" s="19">
        <v>2.5</v>
      </c>
      <c r="F63" s="19">
        <v>8</v>
      </c>
      <c r="G63" s="19">
        <v>8.1999999999999993</v>
      </c>
      <c r="H63" s="104">
        <v>8.1999999999999993</v>
      </c>
      <c r="I63" s="18">
        <v>8.6</v>
      </c>
      <c r="J63" s="19">
        <v>8.6999999999999993</v>
      </c>
      <c r="K63" s="19">
        <v>8.6999999999999993</v>
      </c>
      <c r="L63" s="267">
        <v>2.6</v>
      </c>
      <c r="M63" s="267">
        <v>8.6999999999999993</v>
      </c>
      <c r="N63" s="19">
        <v>8.5</v>
      </c>
      <c r="O63" s="474">
        <v>8.5</v>
      </c>
      <c r="P63" s="281">
        <v>8.6999999999999993</v>
      </c>
      <c r="Q63" s="282">
        <v>8.6</v>
      </c>
      <c r="R63" s="282">
        <v>8.5</v>
      </c>
      <c r="S63" s="282">
        <v>2.6</v>
      </c>
      <c r="T63" s="282">
        <v>8.8000000000000007</v>
      </c>
      <c r="U63" s="282">
        <v>8.8000000000000007</v>
      </c>
      <c r="V63" s="282">
        <v>8.5</v>
      </c>
      <c r="W63" s="98">
        <f t="shared" si="18"/>
        <v>160.1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</v>
      </c>
      <c r="C64" s="19">
        <v>8.1999999999999993</v>
      </c>
      <c r="D64" s="19">
        <v>8.1999999999999993</v>
      </c>
      <c r="E64" s="19">
        <v>2.5</v>
      </c>
      <c r="F64" s="19">
        <v>8</v>
      </c>
      <c r="G64" s="19">
        <v>8.1999999999999993</v>
      </c>
      <c r="H64" s="104">
        <v>8.1999999999999993</v>
      </c>
      <c r="I64" s="18">
        <v>8.6</v>
      </c>
      <c r="J64" s="19">
        <v>8.6999999999999993</v>
      </c>
      <c r="K64" s="19">
        <v>8.6999999999999993</v>
      </c>
      <c r="L64" s="267">
        <v>2.6</v>
      </c>
      <c r="M64" s="267">
        <v>8.6999999999999993</v>
      </c>
      <c r="N64" s="19">
        <v>8.5</v>
      </c>
      <c r="O64" s="474">
        <v>8.5</v>
      </c>
      <c r="P64" s="281">
        <v>8.6999999999999993</v>
      </c>
      <c r="Q64" s="282">
        <v>8.6</v>
      </c>
      <c r="R64" s="282">
        <v>8.5</v>
      </c>
      <c r="S64" s="282">
        <v>2.6</v>
      </c>
      <c r="T64" s="282">
        <v>8.8000000000000007</v>
      </c>
      <c r="U64" s="282">
        <v>8.8000000000000007</v>
      </c>
      <c r="V64" s="282">
        <v>8.5</v>
      </c>
      <c r="W64" s="98">
        <f t="shared" si="18"/>
        <v>160.1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</v>
      </c>
      <c r="C65" s="19">
        <v>8.1999999999999993</v>
      </c>
      <c r="D65" s="19">
        <v>8.1999999999999993</v>
      </c>
      <c r="E65" s="19">
        <v>2.5</v>
      </c>
      <c r="F65" s="19">
        <v>8</v>
      </c>
      <c r="G65" s="19">
        <v>8.1999999999999993</v>
      </c>
      <c r="H65" s="104">
        <v>8.1999999999999993</v>
      </c>
      <c r="I65" s="18">
        <v>8.6</v>
      </c>
      <c r="J65" s="19">
        <v>8.6999999999999993</v>
      </c>
      <c r="K65" s="19">
        <v>8.6999999999999993</v>
      </c>
      <c r="L65" s="267">
        <v>2.6</v>
      </c>
      <c r="M65" s="267">
        <v>8.6999999999999993</v>
      </c>
      <c r="N65" s="19">
        <v>8.5</v>
      </c>
      <c r="O65" s="474">
        <v>8.5</v>
      </c>
      <c r="P65" s="281">
        <v>8.6999999999999993</v>
      </c>
      <c r="Q65" s="282">
        <v>8.6</v>
      </c>
      <c r="R65" s="282">
        <v>8.5</v>
      </c>
      <c r="S65" s="282">
        <v>2.6</v>
      </c>
      <c r="T65" s="282">
        <v>8.8000000000000007</v>
      </c>
      <c r="U65" s="282">
        <v>8.8000000000000007</v>
      </c>
      <c r="V65" s="282">
        <v>8.5</v>
      </c>
      <c r="W65" s="98">
        <f t="shared" si="18"/>
        <v>160.1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</v>
      </c>
      <c r="C66" s="19">
        <v>8.1999999999999993</v>
      </c>
      <c r="D66" s="19">
        <v>8.1999999999999993</v>
      </c>
      <c r="E66" s="19">
        <v>2.5</v>
      </c>
      <c r="F66" s="19">
        <v>8</v>
      </c>
      <c r="G66" s="19">
        <v>8.1999999999999993</v>
      </c>
      <c r="H66" s="104">
        <v>8.1999999999999993</v>
      </c>
      <c r="I66" s="18">
        <v>8.6</v>
      </c>
      <c r="J66" s="19">
        <v>8.6999999999999993</v>
      </c>
      <c r="K66" s="19">
        <v>8.6999999999999993</v>
      </c>
      <c r="L66" s="267">
        <v>2.6</v>
      </c>
      <c r="M66" s="267">
        <v>8.6999999999999993</v>
      </c>
      <c r="N66" s="19">
        <v>8.5</v>
      </c>
      <c r="O66" s="474">
        <v>8.5</v>
      </c>
      <c r="P66" s="281">
        <v>8.6999999999999993</v>
      </c>
      <c r="Q66" s="282">
        <v>8.6</v>
      </c>
      <c r="R66" s="282">
        <v>8.5</v>
      </c>
      <c r="S66" s="282">
        <v>2.6</v>
      </c>
      <c r="T66" s="282">
        <v>8.8000000000000007</v>
      </c>
      <c r="U66" s="282">
        <v>8.8000000000000007</v>
      </c>
      <c r="V66" s="282">
        <v>8.5</v>
      </c>
      <c r="W66" s="98">
        <f t="shared" si="18"/>
        <v>160.1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56.2</v>
      </c>
      <c r="C67" s="120">
        <f>SUM(C60:C66)</f>
        <v>57.2</v>
      </c>
      <c r="D67" s="120">
        <f t="shared" ref="D67:V67" si="19">SUM(D60:D66)</f>
        <v>57.2</v>
      </c>
      <c r="E67" s="120">
        <f t="shared" si="19"/>
        <v>17.3</v>
      </c>
      <c r="F67" s="120">
        <f t="shared" si="19"/>
        <v>56.2</v>
      </c>
      <c r="G67" s="120">
        <f t="shared" si="19"/>
        <v>57.2</v>
      </c>
      <c r="H67" s="268">
        <f t="shared" si="19"/>
        <v>57.2</v>
      </c>
      <c r="I67" s="122">
        <f t="shared" si="19"/>
        <v>60.000000000000007</v>
      </c>
      <c r="J67" s="120">
        <f t="shared" si="19"/>
        <v>60.5</v>
      </c>
      <c r="K67" s="120">
        <f t="shared" si="19"/>
        <v>60.5</v>
      </c>
      <c r="L67" s="120">
        <f t="shared" si="19"/>
        <v>18.2</v>
      </c>
      <c r="M67" s="120">
        <f t="shared" si="19"/>
        <v>60.5</v>
      </c>
      <c r="N67" s="120">
        <f t="shared" si="19"/>
        <v>59.3</v>
      </c>
      <c r="O67" s="121">
        <f t="shared" si="19"/>
        <v>59.1</v>
      </c>
      <c r="P67" s="122">
        <f t="shared" si="19"/>
        <v>60.5</v>
      </c>
      <c r="Q67" s="120">
        <f t="shared" si="19"/>
        <v>60.000000000000007</v>
      </c>
      <c r="R67" s="120">
        <f t="shared" si="19"/>
        <v>59.3</v>
      </c>
      <c r="S67" s="120">
        <f t="shared" si="19"/>
        <v>18.2</v>
      </c>
      <c r="T67" s="120">
        <f t="shared" si="19"/>
        <v>61.3</v>
      </c>
      <c r="U67" s="120">
        <f t="shared" si="19"/>
        <v>61.099999999999994</v>
      </c>
      <c r="V67" s="121">
        <f t="shared" si="19"/>
        <v>59.7</v>
      </c>
      <c r="W67" s="361">
        <f>SUM(W60:W66)</f>
        <v>1116.6999999999998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146.5</v>
      </c>
      <c r="C68" s="24">
        <v>146.5</v>
      </c>
      <c r="D68" s="24">
        <v>146.5</v>
      </c>
      <c r="E68" s="24">
        <v>145.5</v>
      </c>
      <c r="F68" s="24">
        <v>146</v>
      </c>
      <c r="G68" s="24">
        <v>146.5</v>
      </c>
      <c r="H68" s="155">
        <v>146.5</v>
      </c>
      <c r="I68" s="23">
        <v>145.5</v>
      </c>
      <c r="J68" s="24">
        <v>146.5</v>
      </c>
      <c r="K68" s="24">
        <v>146.5</v>
      </c>
      <c r="L68" s="24">
        <v>146.5</v>
      </c>
      <c r="M68" s="24">
        <v>146.5</v>
      </c>
      <c r="N68" s="24">
        <v>146</v>
      </c>
      <c r="O68" s="25">
        <v>146</v>
      </c>
      <c r="P68" s="23">
        <v>146.5</v>
      </c>
      <c r="Q68" s="24">
        <v>145.5</v>
      </c>
      <c r="R68" s="24">
        <v>146</v>
      </c>
      <c r="S68" s="24">
        <v>146</v>
      </c>
      <c r="T68" s="24">
        <v>146</v>
      </c>
      <c r="U68" s="24">
        <v>145.5</v>
      </c>
      <c r="V68" s="25">
        <v>145</v>
      </c>
      <c r="W68" s="99">
        <f>((W67/W69)/7)*1000</f>
        <v>145.82136328022983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55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59</v>
      </c>
      <c r="W69" s="29">
        <f>SUM(B69:V69)</f>
        <v>1094</v>
      </c>
    </row>
    <row r="70" spans="1:26" ht="33.75" customHeight="1" x14ac:dyDescent="0.25">
      <c r="A70" s="150" t="s">
        <v>13</v>
      </c>
      <c r="B70" s="358">
        <f>((((B68*7)*B69)/1000)-(B60+B61))/5</f>
        <v>8.0404999999999998</v>
      </c>
      <c r="C70" s="31">
        <f t="shared" ref="C70:V70" si="20">((((C68*7)*C69)/1000)-(C60+C61))/5</f>
        <v>8.2455999999999996</v>
      </c>
      <c r="D70" s="31">
        <f t="shared" si="20"/>
        <v>8.2455999999999996</v>
      </c>
      <c r="E70" s="31">
        <f t="shared" si="20"/>
        <v>2.5028999999999995</v>
      </c>
      <c r="F70" s="31">
        <f t="shared" si="20"/>
        <v>8.0020000000000007</v>
      </c>
      <c r="G70" s="31">
        <f t="shared" si="20"/>
        <v>8.2455999999999996</v>
      </c>
      <c r="H70" s="464">
        <f t="shared" si="20"/>
        <v>8.2455999999999996</v>
      </c>
      <c r="I70" s="358">
        <f t="shared" si="20"/>
        <v>8.6183000000000014</v>
      </c>
      <c r="J70" s="31">
        <f t="shared" si="20"/>
        <v>8.7009000000000007</v>
      </c>
      <c r="K70" s="31">
        <f t="shared" si="20"/>
        <v>8.7009000000000007</v>
      </c>
      <c r="L70" s="31">
        <f t="shared" si="20"/>
        <v>2.6518000000000002</v>
      </c>
      <c r="M70" s="31">
        <f t="shared" si="20"/>
        <v>8.7009000000000007</v>
      </c>
      <c r="N70" s="31">
        <f t="shared" si="20"/>
        <v>8.4952000000000005</v>
      </c>
      <c r="O70" s="322">
        <f t="shared" si="20"/>
        <v>8.5351999999999997</v>
      </c>
      <c r="P70" s="30">
        <f t="shared" si="20"/>
        <v>8.7009000000000007</v>
      </c>
      <c r="Q70" s="31">
        <f t="shared" si="20"/>
        <v>8.6183000000000014</v>
      </c>
      <c r="R70" s="31">
        <f t="shared" si="20"/>
        <v>8.4952000000000005</v>
      </c>
      <c r="S70" s="31">
        <f t="shared" si="20"/>
        <v>2.6392000000000002</v>
      </c>
      <c r="T70" s="31">
        <f t="shared" si="20"/>
        <v>8.7840000000000007</v>
      </c>
      <c r="U70" s="31">
        <f t="shared" si="20"/>
        <v>8.782</v>
      </c>
      <c r="V70" s="32">
        <f t="shared" si="20"/>
        <v>8.5370000000000008</v>
      </c>
      <c r="W70" s="362">
        <f>((W67*1000)/7)/W69</f>
        <v>145.8213632802298</v>
      </c>
    </row>
    <row r="71" spans="1:26" ht="33.75" customHeight="1" x14ac:dyDescent="0.25">
      <c r="A71" s="151" t="s">
        <v>14</v>
      </c>
      <c r="B71" s="281">
        <f>((B69*B68)*7)/1000</f>
        <v>56.402500000000003</v>
      </c>
      <c r="C71" s="282">
        <f>((C69*C68)*7)/1000</f>
        <v>57.427999999999997</v>
      </c>
      <c r="D71" s="282">
        <f t="shared" ref="D71:V71" si="21">((D69*D68)*7)/1000</f>
        <v>57.427999999999997</v>
      </c>
      <c r="E71" s="282">
        <f t="shared" si="21"/>
        <v>17.314499999999999</v>
      </c>
      <c r="F71" s="282">
        <f t="shared" si="21"/>
        <v>56.21</v>
      </c>
      <c r="G71" s="282">
        <f t="shared" si="21"/>
        <v>57.427999999999997</v>
      </c>
      <c r="H71" s="283">
        <f t="shared" si="21"/>
        <v>57.427999999999997</v>
      </c>
      <c r="I71" s="281">
        <f t="shared" si="21"/>
        <v>60.091500000000003</v>
      </c>
      <c r="J71" s="282">
        <f t="shared" si="21"/>
        <v>60.5045</v>
      </c>
      <c r="K71" s="282">
        <f t="shared" si="21"/>
        <v>60.5045</v>
      </c>
      <c r="L71" s="282">
        <f t="shared" si="21"/>
        <v>18.459</v>
      </c>
      <c r="M71" s="282">
        <f t="shared" si="21"/>
        <v>60.5045</v>
      </c>
      <c r="N71" s="282">
        <f t="shared" si="21"/>
        <v>59.276000000000003</v>
      </c>
      <c r="O71" s="284">
        <f t="shared" si="21"/>
        <v>59.276000000000003</v>
      </c>
      <c r="P71" s="281">
        <f t="shared" si="21"/>
        <v>60.5045</v>
      </c>
      <c r="Q71" s="282">
        <f t="shared" si="21"/>
        <v>60.091500000000003</v>
      </c>
      <c r="R71" s="282">
        <f t="shared" si="21"/>
        <v>59.276000000000003</v>
      </c>
      <c r="S71" s="282">
        <f t="shared" si="21"/>
        <v>18.396000000000001</v>
      </c>
      <c r="T71" s="282">
        <f t="shared" si="21"/>
        <v>61.32</v>
      </c>
      <c r="U71" s="282">
        <f t="shared" si="21"/>
        <v>61.11</v>
      </c>
      <c r="V71" s="284">
        <f t="shared" si="21"/>
        <v>59.884999999999998</v>
      </c>
      <c r="W71" s="36"/>
    </row>
    <row r="72" spans="1:26" ht="33.75" customHeight="1" thickBot="1" x14ac:dyDescent="0.3">
      <c r="A72" s="152" t="s">
        <v>15</v>
      </c>
      <c r="B72" s="37">
        <f>+(B67/B69)/7*1000</f>
        <v>145.97402597402601</v>
      </c>
      <c r="C72" s="38">
        <f t="shared" ref="C72:V72" si="22">+(C67/C69)/7*1000</f>
        <v>145.91836734693879</v>
      </c>
      <c r="D72" s="38">
        <f t="shared" si="22"/>
        <v>145.91836734693879</v>
      </c>
      <c r="E72" s="38">
        <f t="shared" si="22"/>
        <v>145.37815126050418</v>
      </c>
      <c r="F72" s="38">
        <f t="shared" si="22"/>
        <v>145.97402597402601</v>
      </c>
      <c r="G72" s="38">
        <f t="shared" si="22"/>
        <v>145.91836734693879</v>
      </c>
      <c r="H72" s="158">
        <f t="shared" si="22"/>
        <v>145.91836734693879</v>
      </c>
      <c r="I72" s="37">
        <f t="shared" si="22"/>
        <v>145.27845036319616</v>
      </c>
      <c r="J72" s="38">
        <f t="shared" si="22"/>
        <v>146.48910411622276</v>
      </c>
      <c r="K72" s="38">
        <f t="shared" si="22"/>
        <v>146.48910411622276</v>
      </c>
      <c r="L72" s="38">
        <f t="shared" si="22"/>
        <v>144.44444444444443</v>
      </c>
      <c r="M72" s="38">
        <f t="shared" si="22"/>
        <v>146.48910411622276</v>
      </c>
      <c r="N72" s="38">
        <f t="shared" si="22"/>
        <v>146.05911330049261</v>
      </c>
      <c r="O72" s="39">
        <f t="shared" si="22"/>
        <v>145.56650246305421</v>
      </c>
      <c r="P72" s="37">
        <f t="shared" si="22"/>
        <v>146.48910411622276</v>
      </c>
      <c r="Q72" s="38">
        <f t="shared" si="22"/>
        <v>145.27845036319616</v>
      </c>
      <c r="R72" s="38">
        <f t="shared" si="22"/>
        <v>146.05911330049261</v>
      </c>
      <c r="S72" s="38">
        <f t="shared" si="22"/>
        <v>144.44444444444443</v>
      </c>
      <c r="T72" s="38">
        <f t="shared" si="22"/>
        <v>145.95238095238096</v>
      </c>
      <c r="U72" s="38">
        <f t="shared" si="22"/>
        <v>145.47619047619048</v>
      </c>
      <c r="V72" s="39">
        <f t="shared" si="22"/>
        <v>144.55205811138018</v>
      </c>
      <c r="W72" s="40"/>
    </row>
    <row r="73" spans="1:26" ht="33.75" customHeight="1" x14ac:dyDescent="0.25">
      <c r="A73" s="41"/>
      <c r="B73" s="42">
        <f>B71-B67</f>
        <v>0.20250000000000057</v>
      </c>
      <c r="C73" s="42">
        <f t="shared" ref="C73:V74" si="23">C71-C67</f>
        <v>0.22799999999999443</v>
      </c>
      <c r="D73" s="42">
        <f t="shared" si="23"/>
        <v>0.22799999999999443</v>
      </c>
      <c r="E73" s="42">
        <f t="shared" si="23"/>
        <v>1.4499999999998181E-2</v>
      </c>
      <c r="F73" s="42">
        <f t="shared" si="23"/>
        <v>9.9999999999980105E-3</v>
      </c>
      <c r="G73" s="42">
        <f t="shared" si="23"/>
        <v>0.22799999999999443</v>
      </c>
      <c r="H73" s="42">
        <f t="shared" si="23"/>
        <v>0.22799999999999443</v>
      </c>
      <c r="I73" s="42">
        <f t="shared" si="23"/>
        <v>9.1499999999996362E-2</v>
      </c>
      <c r="J73" s="42">
        <f t="shared" si="23"/>
        <v>4.5000000000001705E-3</v>
      </c>
      <c r="K73" s="42">
        <f t="shared" si="23"/>
        <v>4.5000000000001705E-3</v>
      </c>
      <c r="L73" s="42">
        <f t="shared" si="23"/>
        <v>0.25900000000000034</v>
      </c>
      <c r="M73" s="42">
        <f t="shared" si="23"/>
        <v>4.5000000000001705E-3</v>
      </c>
      <c r="N73" s="42">
        <f t="shared" si="23"/>
        <v>-2.3999999999993804E-2</v>
      </c>
      <c r="O73" s="42">
        <f t="shared" si="23"/>
        <v>0.17600000000000193</v>
      </c>
      <c r="P73" s="42">
        <f t="shared" si="23"/>
        <v>4.5000000000001705E-3</v>
      </c>
      <c r="Q73" s="42">
        <f t="shared" si="23"/>
        <v>9.1499999999996362E-2</v>
      </c>
      <c r="R73" s="42">
        <f t="shared" si="23"/>
        <v>-2.3999999999993804E-2</v>
      </c>
      <c r="S73" s="42">
        <f t="shared" si="23"/>
        <v>0.19600000000000151</v>
      </c>
      <c r="T73" s="42">
        <f t="shared" si="23"/>
        <v>2.0000000000003126E-2</v>
      </c>
      <c r="U73" s="42">
        <f t="shared" si="23"/>
        <v>1.0000000000005116E-2</v>
      </c>
      <c r="V73" s="42">
        <f t="shared" si="23"/>
        <v>0.18499999999999517</v>
      </c>
      <c r="W73" s="42"/>
      <c r="X73" s="42"/>
    </row>
    <row r="74" spans="1:26" ht="33.75" customHeight="1" x14ac:dyDescent="0.25">
      <c r="A74" s="41"/>
      <c r="B74" s="42">
        <f>B72-B68</f>
        <v>-0.52597402597399423</v>
      </c>
      <c r="C74" s="42">
        <f t="shared" si="23"/>
        <v>-0.58163265306120593</v>
      </c>
      <c r="D74" s="42">
        <f t="shared" si="23"/>
        <v>-0.58163265306120593</v>
      </c>
      <c r="E74" s="42">
        <f t="shared" si="23"/>
        <v>-0.12184873949581743</v>
      </c>
      <c r="F74" s="42">
        <f t="shared" si="23"/>
        <v>-2.597402597399423E-2</v>
      </c>
      <c r="G74" s="42">
        <f t="shared" si="23"/>
        <v>-0.58163265306120593</v>
      </c>
      <c r="H74" s="42">
        <f t="shared" si="23"/>
        <v>-0.58163265306120593</v>
      </c>
      <c r="I74" s="42">
        <f t="shared" si="23"/>
        <v>-0.22154963680384299</v>
      </c>
      <c r="J74" s="42">
        <f t="shared" si="23"/>
        <v>-1.0895883777237714E-2</v>
      </c>
      <c r="K74" s="42">
        <f t="shared" si="23"/>
        <v>-1.0895883777237714E-2</v>
      </c>
      <c r="L74" s="42">
        <f t="shared" si="23"/>
        <v>-2.0555555555555713</v>
      </c>
      <c r="M74" s="42">
        <f t="shared" si="23"/>
        <v>-1.0895883777237714E-2</v>
      </c>
      <c r="N74" s="42">
        <f t="shared" si="23"/>
        <v>5.9113300492612098E-2</v>
      </c>
      <c r="O74" s="42">
        <f t="shared" si="23"/>
        <v>-0.43349753694579363</v>
      </c>
      <c r="P74" s="42">
        <f t="shared" si="23"/>
        <v>-1.0895883777237714E-2</v>
      </c>
      <c r="Q74" s="42">
        <f>Q72-Q68</f>
        <v>-0.22154963680384299</v>
      </c>
      <c r="R74" s="42">
        <f t="shared" si="23"/>
        <v>5.9113300492612098E-2</v>
      </c>
      <c r="S74" s="42">
        <f t="shared" si="23"/>
        <v>-1.5555555555555713</v>
      </c>
      <c r="T74" s="42">
        <f t="shared" si="23"/>
        <v>-4.7619047619036792E-2</v>
      </c>
      <c r="U74" s="42">
        <f t="shared" si="23"/>
        <v>-2.3809523809518396E-2</v>
      </c>
      <c r="V74" s="42">
        <f t="shared" si="23"/>
        <v>-0.4479418886198232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41"/>
  <dimension ref="A1:AE244"/>
  <sheetViews>
    <sheetView topLeftCell="A31" zoomScale="40" zoomScaleNormal="40" workbookViewId="0">
      <selection activeCell="B47" sqref="B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27</v>
      </c>
      <c r="Q11" s="1022"/>
      <c r="R11" s="6"/>
      <c r="S11" s="1" t="s">
        <v>6</v>
      </c>
      <c r="T11" s="95">
        <v>45564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79.099999999999994</v>
      </c>
      <c r="C18" s="497">
        <v>79.5</v>
      </c>
      <c r="D18" s="497">
        <v>78.7</v>
      </c>
      <c r="E18" s="486">
        <v>24.7</v>
      </c>
      <c r="F18" s="486">
        <v>78.7</v>
      </c>
      <c r="G18" s="486">
        <v>79.099999999999994</v>
      </c>
      <c r="H18" s="499">
        <v>77.8</v>
      </c>
      <c r="I18" s="500">
        <v>83.6</v>
      </c>
      <c r="J18" s="497">
        <v>81.400000000000006</v>
      </c>
      <c r="K18" s="497">
        <v>82.6</v>
      </c>
      <c r="L18" s="497">
        <v>23.8</v>
      </c>
      <c r="M18" s="486">
        <v>82.1</v>
      </c>
      <c r="N18" s="497">
        <v>79</v>
      </c>
      <c r="O18" s="498">
        <v>77.7</v>
      </c>
      <c r="P18" s="133">
        <v>84.4</v>
      </c>
      <c r="Q18" s="497">
        <v>84.2</v>
      </c>
      <c r="R18" s="497">
        <v>84.4</v>
      </c>
      <c r="S18" s="497">
        <v>25.8</v>
      </c>
      <c r="T18" s="486">
        <v>84.8</v>
      </c>
      <c r="U18" s="497">
        <v>83.1</v>
      </c>
      <c r="V18" s="498">
        <v>80</v>
      </c>
      <c r="W18" s="98">
        <f t="shared" ref="W18:W24" si="0">SUM(B18:V18)</f>
        <v>1534.5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79.099999999999994</v>
      </c>
      <c r="C19" s="497">
        <v>79.5</v>
      </c>
      <c r="D19" s="497">
        <v>78.7</v>
      </c>
      <c r="E19" s="497">
        <v>24.7</v>
      </c>
      <c r="F19" s="497">
        <v>78.7</v>
      </c>
      <c r="G19" s="497">
        <v>79.099999999999994</v>
      </c>
      <c r="H19" s="498">
        <v>77.8</v>
      </c>
      <c r="I19" s="126">
        <v>83.6</v>
      </c>
      <c r="J19" s="501">
        <v>82.8</v>
      </c>
      <c r="K19" s="497">
        <v>82.6</v>
      </c>
      <c r="L19" s="497">
        <v>23.8</v>
      </c>
      <c r="M19" s="497">
        <v>82.1</v>
      </c>
      <c r="N19" s="486">
        <v>80.400000000000006</v>
      </c>
      <c r="O19" s="498">
        <v>77.7</v>
      </c>
      <c r="P19" s="133">
        <v>84.4</v>
      </c>
      <c r="Q19" s="497">
        <v>84.2</v>
      </c>
      <c r="R19" s="497">
        <v>84.4</v>
      </c>
      <c r="S19" s="501">
        <v>26.2</v>
      </c>
      <c r="T19" s="497">
        <v>84.8</v>
      </c>
      <c r="U19" s="497">
        <v>83.1</v>
      </c>
      <c r="V19" s="498">
        <v>80</v>
      </c>
      <c r="W19" s="98">
        <f t="shared" si="0"/>
        <v>1537.7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79.099999999999994</v>
      </c>
      <c r="C20" s="501">
        <v>80.900000000000006</v>
      </c>
      <c r="D20" s="501">
        <v>80</v>
      </c>
      <c r="E20" s="501">
        <v>25</v>
      </c>
      <c r="F20" s="501">
        <v>80.099999999999994</v>
      </c>
      <c r="G20" s="497">
        <v>79.099999999999994</v>
      </c>
      <c r="H20" s="498">
        <v>77.8</v>
      </c>
      <c r="I20" s="502">
        <v>85.4</v>
      </c>
      <c r="J20" s="497">
        <v>82.8</v>
      </c>
      <c r="K20" s="497">
        <v>82.6</v>
      </c>
      <c r="L20" s="501">
        <v>24.3</v>
      </c>
      <c r="M20" s="497">
        <v>82.1</v>
      </c>
      <c r="N20" s="497">
        <v>80.400000000000006</v>
      </c>
      <c r="O20" s="499">
        <v>79.2</v>
      </c>
      <c r="P20" s="133">
        <v>84.1</v>
      </c>
      <c r="Q20" s="501">
        <v>85.6</v>
      </c>
      <c r="R20" s="501">
        <v>85.8</v>
      </c>
      <c r="S20" s="497">
        <v>26.2</v>
      </c>
      <c r="T20" s="497">
        <v>84.8</v>
      </c>
      <c r="U20" s="501">
        <v>84.6</v>
      </c>
      <c r="V20" s="498">
        <v>81.900000000000006</v>
      </c>
      <c r="W20" s="98">
        <f t="shared" si="0"/>
        <v>1551.8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503">
        <v>80.5</v>
      </c>
      <c r="C21" s="497">
        <v>80.7</v>
      </c>
      <c r="D21" s="497">
        <v>80</v>
      </c>
      <c r="E21" s="497">
        <v>25</v>
      </c>
      <c r="F21" s="497">
        <v>80.099999999999994</v>
      </c>
      <c r="G21" s="501">
        <v>80.5</v>
      </c>
      <c r="H21" s="504">
        <v>79.3</v>
      </c>
      <c r="I21" s="126">
        <v>85.4</v>
      </c>
      <c r="J21" s="497">
        <v>82.8</v>
      </c>
      <c r="K21" s="501">
        <v>84</v>
      </c>
      <c r="L21" s="497">
        <v>24.3</v>
      </c>
      <c r="M21" s="501">
        <v>83.6</v>
      </c>
      <c r="N21" s="501">
        <v>82</v>
      </c>
      <c r="O21" s="498">
        <v>79.2</v>
      </c>
      <c r="P21" s="503">
        <v>85.1</v>
      </c>
      <c r="Q21" s="497">
        <v>85.6</v>
      </c>
      <c r="R21" s="497">
        <v>85.8</v>
      </c>
      <c r="S21" s="497">
        <v>26.2</v>
      </c>
      <c r="T21" s="501">
        <v>86.2</v>
      </c>
      <c r="U21" s="497">
        <v>84.6</v>
      </c>
      <c r="V21" s="499">
        <v>81.900000000000006</v>
      </c>
      <c r="W21" s="98">
        <f t="shared" si="0"/>
        <v>1562.7999999999997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05">
        <v>82.1</v>
      </c>
      <c r="C22" s="506">
        <v>82.3</v>
      </c>
      <c r="D22" s="506">
        <v>81.5</v>
      </c>
      <c r="E22" s="506">
        <v>25.5</v>
      </c>
      <c r="F22" s="506">
        <v>81.7</v>
      </c>
      <c r="G22" s="497">
        <v>80.5</v>
      </c>
      <c r="H22" s="498">
        <v>79.3</v>
      </c>
      <c r="I22" s="126">
        <v>85.4</v>
      </c>
      <c r="J22" s="506">
        <v>84.4</v>
      </c>
      <c r="K22" s="497">
        <v>84</v>
      </c>
      <c r="L22" s="506">
        <v>24.9</v>
      </c>
      <c r="M22" s="497">
        <v>83.6</v>
      </c>
      <c r="N22" s="497">
        <v>82</v>
      </c>
      <c r="O22" s="498">
        <v>79.2</v>
      </c>
      <c r="P22" s="133">
        <v>85.1</v>
      </c>
      <c r="Q22" s="506">
        <v>87.2</v>
      </c>
      <c r="R22" s="506">
        <v>87.4</v>
      </c>
      <c r="S22" s="506">
        <v>26.7</v>
      </c>
      <c r="T22" s="497">
        <v>86.2</v>
      </c>
      <c r="U22" s="506">
        <v>86.4</v>
      </c>
      <c r="V22" s="498">
        <v>81.900000000000006</v>
      </c>
      <c r="W22" s="98">
        <f t="shared" si="0"/>
        <v>1577.3000000000002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82.1</v>
      </c>
      <c r="C23" s="497">
        <v>82.3</v>
      </c>
      <c r="D23" s="497">
        <v>81.3</v>
      </c>
      <c r="E23" s="497">
        <v>25.4</v>
      </c>
      <c r="F23" s="497">
        <v>81.7</v>
      </c>
      <c r="G23" s="497">
        <v>80.5</v>
      </c>
      <c r="H23" s="498">
        <v>79.3</v>
      </c>
      <c r="I23" s="507">
        <v>87.4</v>
      </c>
      <c r="J23" s="497">
        <v>84.4</v>
      </c>
      <c r="K23" s="506">
        <v>85.8</v>
      </c>
      <c r="L23" s="497">
        <v>24.9</v>
      </c>
      <c r="M23" s="506">
        <v>85.4</v>
      </c>
      <c r="N23" s="506">
        <v>83.8</v>
      </c>
      <c r="O23" s="504">
        <v>80.8</v>
      </c>
      <c r="P23" s="133">
        <v>85.1</v>
      </c>
      <c r="Q23" s="497">
        <v>87.2</v>
      </c>
      <c r="R23" s="497">
        <v>87.3</v>
      </c>
      <c r="S23" s="497">
        <v>26.7</v>
      </c>
      <c r="T23" s="506">
        <v>87.8</v>
      </c>
      <c r="U23" s="497">
        <v>86.4</v>
      </c>
      <c r="V23" s="498">
        <v>81.900000000000006</v>
      </c>
      <c r="W23" s="98">
        <f t="shared" si="0"/>
        <v>1587.4999999999998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08">
        <v>83.9</v>
      </c>
      <c r="C24" s="497">
        <v>82.3</v>
      </c>
      <c r="D24" s="509">
        <v>82.9</v>
      </c>
      <c r="E24" s="509">
        <v>26</v>
      </c>
      <c r="F24" s="497">
        <v>81.7</v>
      </c>
      <c r="G24" s="506">
        <v>81.900000000000006</v>
      </c>
      <c r="H24" s="510">
        <v>81.099999999999994</v>
      </c>
      <c r="I24" s="126">
        <v>87.4</v>
      </c>
      <c r="J24" s="509">
        <v>86.2</v>
      </c>
      <c r="K24" s="497">
        <v>85.8</v>
      </c>
      <c r="L24" s="497">
        <v>24.9</v>
      </c>
      <c r="M24" s="497">
        <v>85.4</v>
      </c>
      <c r="N24" s="497">
        <v>83.8</v>
      </c>
      <c r="O24" s="498">
        <v>80.8</v>
      </c>
      <c r="P24" s="505">
        <v>86.8</v>
      </c>
      <c r="Q24" s="497">
        <v>87.2</v>
      </c>
      <c r="R24" s="497">
        <v>87.3</v>
      </c>
      <c r="S24" s="509">
        <v>27.3</v>
      </c>
      <c r="T24" s="497">
        <v>87.8</v>
      </c>
      <c r="U24" s="497">
        <v>86.4</v>
      </c>
      <c r="V24" s="504">
        <v>83.1</v>
      </c>
      <c r="W24" s="98">
        <f t="shared" si="0"/>
        <v>1599.9999999999998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565.9</v>
      </c>
      <c r="C25" s="201">
        <f>SUM(C18:C24)</f>
        <v>567.5</v>
      </c>
      <c r="D25" s="201">
        <f t="shared" ref="D25:V25" si="1">SUM(D18:D24)</f>
        <v>563.1</v>
      </c>
      <c r="E25" s="201">
        <f t="shared" si="1"/>
        <v>176.3</v>
      </c>
      <c r="F25" s="201">
        <f t="shared" si="1"/>
        <v>562.70000000000005</v>
      </c>
      <c r="G25" s="201">
        <f t="shared" si="1"/>
        <v>560.69999999999993</v>
      </c>
      <c r="H25" s="229">
        <f t="shared" si="1"/>
        <v>552.4</v>
      </c>
      <c r="I25" s="225">
        <f t="shared" si="1"/>
        <v>598.19999999999993</v>
      </c>
      <c r="J25" s="201">
        <f t="shared" si="1"/>
        <v>584.80000000000007</v>
      </c>
      <c r="K25" s="201">
        <f t="shared" si="1"/>
        <v>587.4</v>
      </c>
      <c r="L25" s="201">
        <f t="shared" si="1"/>
        <v>170.9</v>
      </c>
      <c r="M25" s="201">
        <f t="shared" si="1"/>
        <v>584.29999999999995</v>
      </c>
      <c r="N25" s="201">
        <f t="shared" si="1"/>
        <v>571.4</v>
      </c>
      <c r="O25" s="229">
        <f t="shared" si="1"/>
        <v>554.6</v>
      </c>
      <c r="P25" s="122">
        <f t="shared" si="1"/>
        <v>595</v>
      </c>
      <c r="Q25" s="120">
        <f t="shared" si="1"/>
        <v>601.20000000000005</v>
      </c>
      <c r="R25" s="120">
        <f t="shared" si="1"/>
        <v>602.4</v>
      </c>
      <c r="S25" s="120">
        <f t="shared" si="1"/>
        <v>185.1</v>
      </c>
      <c r="T25" s="120">
        <f t="shared" si="1"/>
        <v>602.39999999999986</v>
      </c>
      <c r="U25" s="120">
        <f t="shared" si="1"/>
        <v>594.59999999999991</v>
      </c>
      <c r="V25" s="121">
        <f t="shared" si="1"/>
        <v>570.70000000000005</v>
      </c>
      <c r="W25" s="361">
        <f>SUM(W18:W24)</f>
        <v>10951.599999999999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142.66999999999999</v>
      </c>
      <c r="C26" s="488">
        <v>139.96</v>
      </c>
      <c r="D26" s="488">
        <v>143.69</v>
      </c>
      <c r="E26" s="24">
        <v>141.32</v>
      </c>
      <c r="F26" s="24">
        <v>138.41</v>
      </c>
      <c r="G26" s="24">
        <v>139.57</v>
      </c>
      <c r="H26" s="155">
        <v>137.63999999999999</v>
      </c>
      <c r="I26" s="487">
        <v>141.66</v>
      </c>
      <c r="J26" s="488">
        <v>143.01</v>
      </c>
      <c r="K26" s="488">
        <v>138.80000000000001</v>
      </c>
      <c r="L26" s="488">
        <v>136.09</v>
      </c>
      <c r="M26" s="24">
        <v>138.41</v>
      </c>
      <c r="N26" s="24">
        <v>136.09</v>
      </c>
      <c r="O26" s="155">
        <v>130.82</v>
      </c>
      <c r="P26" s="487">
        <v>139.96</v>
      </c>
      <c r="Q26" s="488">
        <v>139.72999999999999</v>
      </c>
      <c r="R26" s="488">
        <v>140.72999999999999</v>
      </c>
      <c r="S26" s="488">
        <v>143.69</v>
      </c>
      <c r="T26" s="24">
        <v>140.72999999999999</v>
      </c>
      <c r="U26" s="24">
        <v>138.41</v>
      </c>
      <c r="V26" s="25">
        <v>132.97</v>
      </c>
      <c r="W26" s="99">
        <f>((W25/W27)/7)*1000</f>
        <v>136.03289154980311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588</v>
      </c>
      <c r="D27" s="27">
        <v>577</v>
      </c>
      <c r="E27" s="27">
        <v>184</v>
      </c>
      <c r="F27" s="27">
        <v>590</v>
      </c>
      <c r="G27" s="27">
        <v>587</v>
      </c>
      <c r="H27" s="156">
        <v>589</v>
      </c>
      <c r="I27" s="26">
        <v>617</v>
      </c>
      <c r="J27" s="27">
        <v>603</v>
      </c>
      <c r="K27" s="27">
        <v>618</v>
      </c>
      <c r="L27" s="27">
        <v>183</v>
      </c>
      <c r="M27" s="27">
        <v>617</v>
      </c>
      <c r="N27" s="27">
        <v>616</v>
      </c>
      <c r="O27" s="156">
        <v>618</v>
      </c>
      <c r="P27" s="26">
        <v>620</v>
      </c>
      <c r="Q27" s="27">
        <v>624</v>
      </c>
      <c r="R27" s="27">
        <v>620</v>
      </c>
      <c r="S27" s="27">
        <v>190</v>
      </c>
      <c r="T27" s="27">
        <v>624</v>
      </c>
      <c r="U27" s="27">
        <v>623</v>
      </c>
      <c r="V27" s="28">
        <v>625</v>
      </c>
      <c r="W27" s="29">
        <f>SUM(B27:V27)</f>
        <v>11501</v>
      </c>
    </row>
    <row r="28" spans="1:31" s="2" customFormat="1" ht="33" customHeight="1" x14ac:dyDescent="0.25">
      <c r="A28" s="150" t="s">
        <v>13</v>
      </c>
      <c r="B28" s="358">
        <f>((((B26*7)*B27)/1000))/7</f>
        <v>83.889959999999988</v>
      </c>
      <c r="C28" s="358">
        <f t="shared" ref="C28:V28" si="2">((((C26*7)*C27)/1000))/7</f>
        <v>82.296479999999988</v>
      </c>
      <c r="D28" s="358">
        <f t="shared" si="2"/>
        <v>82.90912999999999</v>
      </c>
      <c r="E28" s="358">
        <f t="shared" si="2"/>
        <v>26.002880000000001</v>
      </c>
      <c r="F28" s="358">
        <f t="shared" si="2"/>
        <v>81.661900000000017</v>
      </c>
      <c r="G28" s="358">
        <f t="shared" si="2"/>
        <v>81.927589999999995</v>
      </c>
      <c r="H28" s="358">
        <f t="shared" si="2"/>
        <v>81.069959999999995</v>
      </c>
      <c r="I28" s="358">
        <f t="shared" si="2"/>
        <v>87.404220000000009</v>
      </c>
      <c r="J28" s="358">
        <f t="shared" si="2"/>
        <v>86.235029999999981</v>
      </c>
      <c r="K28" s="358">
        <f t="shared" si="2"/>
        <v>85.778400000000005</v>
      </c>
      <c r="L28" s="358">
        <f t="shared" si="2"/>
        <v>24.90447</v>
      </c>
      <c r="M28" s="358">
        <f t="shared" si="2"/>
        <v>85.398970000000006</v>
      </c>
      <c r="N28" s="358">
        <f t="shared" si="2"/>
        <v>83.831440000000001</v>
      </c>
      <c r="O28" s="358">
        <f t="shared" si="2"/>
        <v>80.846759999999989</v>
      </c>
      <c r="P28" s="358">
        <f t="shared" si="2"/>
        <v>86.775200000000012</v>
      </c>
      <c r="Q28" s="358">
        <f t="shared" si="2"/>
        <v>87.191519999999983</v>
      </c>
      <c r="R28" s="358">
        <f t="shared" si="2"/>
        <v>87.252600000000001</v>
      </c>
      <c r="S28" s="358">
        <f t="shared" si="2"/>
        <v>27.301099999999998</v>
      </c>
      <c r="T28" s="358">
        <f t="shared" si="2"/>
        <v>87.815519999999992</v>
      </c>
      <c r="U28" s="358">
        <f t="shared" si="2"/>
        <v>86.229429999999994</v>
      </c>
      <c r="V28" s="358">
        <f t="shared" si="2"/>
        <v>83.106250000000003</v>
      </c>
      <c r="W28" s="362">
        <f>((W25*1000)/7)/W27</f>
        <v>136.03289154980311</v>
      </c>
    </row>
    <row r="29" spans="1:31" ht="33.75" customHeight="1" x14ac:dyDescent="0.25">
      <c r="A29" s="151" t="s">
        <v>14</v>
      </c>
      <c r="B29" s="281">
        <f>((B27*B26)*7)/1000</f>
        <v>587.22971999999993</v>
      </c>
      <c r="C29" s="282">
        <f>((C27*C26)*7)/1000</f>
        <v>576.07536000000005</v>
      </c>
      <c r="D29" s="282">
        <f t="shared" ref="D29:V29" si="3">((D27*D26)*7)/1000</f>
        <v>580.36391000000003</v>
      </c>
      <c r="E29" s="282">
        <f t="shared" si="3"/>
        <v>182.02015999999998</v>
      </c>
      <c r="F29" s="282">
        <f t="shared" si="3"/>
        <v>571.63329999999996</v>
      </c>
      <c r="G29" s="282">
        <f t="shared" si="3"/>
        <v>573.49312999999995</v>
      </c>
      <c r="H29" s="283">
        <f t="shared" si="3"/>
        <v>567.48971999999992</v>
      </c>
      <c r="I29" s="281">
        <f t="shared" si="3"/>
        <v>611.82954000000007</v>
      </c>
      <c r="J29" s="282">
        <f t="shared" si="3"/>
        <v>603.64520999999991</v>
      </c>
      <c r="K29" s="282">
        <f t="shared" si="3"/>
        <v>600.44880000000001</v>
      </c>
      <c r="L29" s="282">
        <f t="shared" si="3"/>
        <v>174.33129</v>
      </c>
      <c r="M29" s="282">
        <f t="shared" si="3"/>
        <v>597.79279000000008</v>
      </c>
      <c r="N29" s="282">
        <f t="shared" si="3"/>
        <v>586.82008000000008</v>
      </c>
      <c r="O29" s="283">
        <f t="shared" si="3"/>
        <v>565.9273199999999</v>
      </c>
      <c r="P29" s="281">
        <f t="shared" si="3"/>
        <v>607.42640000000017</v>
      </c>
      <c r="Q29" s="282">
        <f t="shared" si="3"/>
        <v>610.34063999999989</v>
      </c>
      <c r="R29" s="282">
        <f t="shared" si="3"/>
        <v>610.76819999999998</v>
      </c>
      <c r="S29" s="282">
        <f t="shared" si="3"/>
        <v>191.10769999999999</v>
      </c>
      <c r="T29" s="282">
        <f t="shared" si="3"/>
        <v>614.70863999999995</v>
      </c>
      <c r="U29" s="282">
        <f t="shared" si="3"/>
        <v>603.60600999999997</v>
      </c>
      <c r="V29" s="284">
        <f t="shared" si="3"/>
        <v>581.74374999999998</v>
      </c>
      <c r="W29" s="36"/>
    </row>
    <row r="30" spans="1:31" ht="33.75" customHeight="1" thickBot="1" x14ac:dyDescent="0.3">
      <c r="A30" s="152" t="s">
        <v>15</v>
      </c>
      <c r="B30" s="37">
        <f>+(B25/B27)/7*1000</f>
        <v>137.48785228377065</v>
      </c>
      <c r="C30" s="38">
        <f t="shared" ref="C30:V30" si="4">+(C25/C27)/7*1000</f>
        <v>137.87657920310983</v>
      </c>
      <c r="D30" s="38">
        <f t="shared" si="4"/>
        <v>139.41569695469175</v>
      </c>
      <c r="E30" s="38">
        <f t="shared" si="4"/>
        <v>136.87888198757764</v>
      </c>
      <c r="F30" s="38">
        <f t="shared" si="4"/>
        <v>136.24697336561744</v>
      </c>
      <c r="G30" s="38">
        <f t="shared" si="4"/>
        <v>136.45655877342418</v>
      </c>
      <c r="H30" s="158">
        <f t="shared" si="4"/>
        <v>133.98011156924568</v>
      </c>
      <c r="I30" s="37">
        <f t="shared" si="4"/>
        <v>138.50428339893492</v>
      </c>
      <c r="J30" s="38">
        <f t="shared" si="4"/>
        <v>138.54536839611467</v>
      </c>
      <c r="K30" s="38">
        <f t="shared" si="4"/>
        <v>135.78363384188626</v>
      </c>
      <c r="L30" s="38">
        <f t="shared" si="4"/>
        <v>133.41139734582359</v>
      </c>
      <c r="M30" s="38">
        <f t="shared" si="4"/>
        <v>135.28594582079185</v>
      </c>
      <c r="N30" s="38">
        <f t="shared" si="4"/>
        <v>132.51391465677179</v>
      </c>
      <c r="O30" s="158">
        <f t="shared" si="4"/>
        <v>128.2015718908923</v>
      </c>
      <c r="P30" s="37">
        <f t="shared" si="4"/>
        <v>137.09677419354841</v>
      </c>
      <c r="Q30" s="38">
        <f t="shared" si="4"/>
        <v>137.63736263736266</v>
      </c>
      <c r="R30" s="38">
        <f t="shared" si="4"/>
        <v>138.80184331797236</v>
      </c>
      <c r="S30" s="38">
        <f t="shared" si="4"/>
        <v>139.17293233082705</v>
      </c>
      <c r="T30" s="38">
        <f t="shared" si="4"/>
        <v>137.91208791208788</v>
      </c>
      <c r="U30" s="38">
        <f t="shared" si="4"/>
        <v>136.34487502866313</v>
      </c>
      <c r="V30" s="39">
        <f t="shared" si="4"/>
        <v>130.4457142857143</v>
      </c>
      <c r="W30" s="40"/>
    </row>
    <row r="31" spans="1:31" ht="33.75" customHeight="1" x14ac:dyDescent="0.25">
      <c r="A31" s="41"/>
      <c r="B31" s="42">
        <f>B29-B25</f>
        <v>21.329719999999952</v>
      </c>
      <c r="C31" s="42">
        <f t="shared" ref="C31:V32" si="5">C29-C25</f>
        <v>8.5753600000000461</v>
      </c>
      <c r="D31" s="42">
        <f t="shared" si="5"/>
        <v>17.26391000000001</v>
      </c>
      <c r="E31" s="42">
        <f t="shared" si="5"/>
        <v>5.7201599999999644</v>
      </c>
      <c r="F31" s="42">
        <f t="shared" si="5"/>
        <v>8.9332999999999174</v>
      </c>
      <c r="G31" s="42">
        <f t="shared" si="5"/>
        <v>12.793130000000019</v>
      </c>
      <c r="H31" s="42">
        <f t="shared" si="5"/>
        <v>15.089719999999943</v>
      </c>
      <c r="I31" s="42">
        <f t="shared" si="5"/>
        <v>13.629540000000134</v>
      </c>
      <c r="J31" s="42">
        <f t="shared" si="5"/>
        <v>18.845209999999838</v>
      </c>
      <c r="K31" s="42">
        <f t="shared" si="5"/>
        <v>13.048800000000028</v>
      </c>
      <c r="L31" s="42">
        <f t="shared" si="5"/>
        <v>3.43128999999999</v>
      </c>
      <c r="M31" s="42">
        <f t="shared" si="5"/>
        <v>13.492790000000127</v>
      </c>
      <c r="N31" s="42">
        <f t="shared" si="5"/>
        <v>15.420080000000098</v>
      </c>
      <c r="O31" s="42">
        <f t="shared" si="5"/>
        <v>11.327319999999872</v>
      </c>
      <c r="P31" s="42">
        <f t="shared" si="5"/>
        <v>12.426400000000172</v>
      </c>
      <c r="Q31" s="42">
        <f t="shared" si="5"/>
        <v>9.1406399999998484</v>
      </c>
      <c r="R31" s="42">
        <f t="shared" si="5"/>
        <v>8.3682000000000016</v>
      </c>
      <c r="S31" s="42">
        <f t="shared" si="5"/>
        <v>6.0076999999999998</v>
      </c>
      <c r="T31" s="42">
        <f t="shared" si="5"/>
        <v>12.308640000000082</v>
      </c>
      <c r="U31" s="42">
        <f t="shared" si="5"/>
        <v>9.0060100000000602</v>
      </c>
      <c r="V31" s="42">
        <f t="shared" si="5"/>
        <v>11.043749999999932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-5.1821477162293377</v>
      </c>
      <c r="C32" s="42">
        <f t="shared" si="5"/>
        <v>-2.0834207968901808</v>
      </c>
      <c r="D32" s="42">
        <f t="shared" si="5"/>
        <v>-4.274303045308244</v>
      </c>
      <c r="E32" s="42">
        <f t="shared" si="5"/>
        <v>-4.4411180124223506</v>
      </c>
      <c r="F32" s="42">
        <f t="shared" si="5"/>
        <v>-2.163026634382561</v>
      </c>
      <c r="G32" s="42">
        <f t="shared" si="5"/>
        <v>-3.1134412265758158</v>
      </c>
      <c r="H32" s="42">
        <f t="shared" si="5"/>
        <v>-3.6598884307543074</v>
      </c>
      <c r="I32" s="42">
        <f t="shared" si="5"/>
        <v>-3.1557166010650803</v>
      </c>
      <c r="J32" s="42">
        <f t="shared" si="5"/>
        <v>-4.4646316038853229</v>
      </c>
      <c r="K32" s="42">
        <f t="shared" si="5"/>
        <v>-3.0163661581137546</v>
      </c>
      <c r="L32" s="42">
        <f t="shared" si="5"/>
        <v>-2.6786026541764159</v>
      </c>
      <c r="M32" s="42">
        <f t="shared" si="5"/>
        <v>-3.1240541792081444</v>
      </c>
      <c r="N32" s="42">
        <f t="shared" si="5"/>
        <v>-3.5760853432282147</v>
      </c>
      <c r="O32" s="42">
        <f t="shared" si="5"/>
        <v>-2.6184281091076969</v>
      </c>
      <c r="P32" s="42">
        <f t="shared" si="5"/>
        <v>-2.8632258064515952</v>
      </c>
      <c r="Q32" s="42">
        <f>Q30-Q26</f>
        <v>-2.0926373626373334</v>
      </c>
      <c r="R32" s="42">
        <f t="shared" si="5"/>
        <v>-1.9281566820276339</v>
      </c>
      <c r="S32" s="42">
        <f t="shared" si="5"/>
        <v>-4.5170676691729454</v>
      </c>
      <c r="T32" s="42">
        <f t="shared" si="5"/>
        <v>-2.8179120879121058</v>
      </c>
      <c r="U32" s="42">
        <f t="shared" si="5"/>
        <v>-2.0651249713368713</v>
      </c>
      <c r="V32" s="42">
        <f t="shared" si="5"/>
        <v>-2.5242857142856963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8">
        <v>81.3</v>
      </c>
      <c r="C39" s="19">
        <v>81.599999999999994</v>
      </c>
      <c r="D39" s="19">
        <v>24.8</v>
      </c>
      <c r="E39" s="19">
        <v>82.6</v>
      </c>
      <c r="F39" s="19">
        <v>82.9</v>
      </c>
      <c r="G39" s="20">
        <v>83.3</v>
      </c>
      <c r="H39" s="326">
        <f t="shared" ref="H39:H46" si="6">SUM(B39:G39)</f>
        <v>436.49999999999994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7.7</v>
      </c>
      <c r="Q39" s="19">
        <v>2.4</v>
      </c>
      <c r="R39" s="19">
        <v>7.4</v>
      </c>
      <c r="S39" s="19">
        <v>7.6</v>
      </c>
      <c r="T39" s="19">
        <v>7.9</v>
      </c>
      <c r="U39" s="326">
        <f t="shared" ref="U39:U46" si="7">SUM(O39:T39)</f>
        <v>40.5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81.3</v>
      </c>
      <c r="C40" s="19">
        <v>81.599999999999994</v>
      </c>
      <c r="D40" s="19">
        <v>24.8</v>
      </c>
      <c r="E40" s="19">
        <v>82.6</v>
      </c>
      <c r="F40" s="19">
        <v>82.9</v>
      </c>
      <c r="G40" s="20">
        <v>83.3</v>
      </c>
      <c r="H40" s="264">
        <f t="shared" si="6"/>
        <v>436.49999999999994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7.7</v>
      </c>
      <c r="Q40" s="19">
        <v>2.4</v>
      </c>
      <c r="R40" s="19">
        <v>7.4</v>
      </c>
      <c r="S40" s="19">
        <v>7.6</v>
      </c>
      <c r="T40" s="19">
        <v>7.9</v>
      </c>
      <c r="U40" s="264">
        <f t="shared" si="7"/>
        <v>40.5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82</v>
      </c>
      <c r="C41" s="19">
        <v>82.4</v>
      </c>
      <c r="D41" s="19">
        <v>24.8</v>
      </c>
      <c r="E41" s="19">
        <v>83.6</v>
      </c>
      <c r="F41" s="19">
        <v>83.7</v>
      </c>
      <c r="G41" s="20">
        <v>84</v>
      </c>
      <c r="H41" s="264">
        <f t="shared" si="6"/>
        <v>440.5</v>
      </c>
      <c r="I41" s="49"/>
      <c r="J41" s="196"/>
      <c r="K41" s="196"/>
      <c r="L41" s="196"/>
      <c r="M41" s="2"/>
      <c r="N41" s="146" t="s">
        <v>20</v>
      </c>
      <c r="O41" s="18">
        <v>7.6</v>
      </c>
      <c r="P41" s="19">
        <v>7.8</v>
      </c>
      <c r="Q41" s="19">
        <v>1.9</v>
      </c>
      <c r="R41" s="19">
        <v>7.6</v>
      </c>
      <c r="S41" s="19">
        <v>7.8</v>
      </c>
      <c r="T41" s="19">
        <v>8.1</v>
      </c>
      <c r="U41" s="264">
        <f t="shared" si="7"/>
        <v>40.799999999999997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82.4</v>
      </c>
      <c r="D42" s="19">
        <v>24.8</v>
      </c>
      <c r="E42" s="19">
        <v>83.4</v>
      </c>
      <c r="F42" s="19">
        <v>83.7</v>
      </c>
      <c r="G42" s="20">
        <v>84</v>
      </c>
      <c r="H42" s="264">
        <f t="shared" si="6"/>
        <v>440.2</v>
      </c>
      <c r="I42" s="49"/>
      <c r="J42" s="2"/>
      <c r="K42" s="2"/>
      <c r="L42" s="2"/>
      <c r="M42" s="2"/>
      <c r="N42" s="146" t="s">
        <v>28</v>
      </c>
      <c r="O42" s="18">
        <v>7.6</v>
      </c>
      <c r="P42" s="19">
        <v>7.8</v>
      </c>
      <c r="Q42" s="19">
        <v>1.9</v>
      </c>
      <c r="R42" s="19">
        <v>7.6</v>
      </c>
      <c r="S42" s="19">
        <v>7.8</v>
      </c>
      <c r="T42" s="19">
        <v>8.1</v>
      </c>
      <c r="U42" s="264">
        <f t="shared" si="7"/>
        <v>40.799999999999997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87.2</v>
      </c>
      <c r="C43" s="19">
        <v>82.4</v>
      </c>
      <c r="D43" s="19">
        <v>24.6</v>
      </c>
      <c r="E43" s="19">
        <v>83.3</v>
      </c>
      <c r="F43" s="19">
        <v>83.7</v>
      </c>
      <c r="G43" s="20">
        <v>84</v>
      </c>
      <c r="H43" s="264">
        <f t="shared" si="6"/>
        <v>445.2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7.8</v>
      </c>
      <c r="Q43" s="19">
        <v>1.9</v>
      </c>
      <c r="R43" s="19">
        <v>7.6</v>
      </c>
      <c r="S43" s="19">
        <v>7.8</v>
      </c>
      <c r="T43" s="19">
        <v>8.1</v>
      </c>
      <c r="U43" s="264">
        <f t="shared" si="7"/>
        <v>40.799999999999997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87.2</v>
      </c>
      <c r="C44" s="486">
        <v>86.5</v>
      </c>
      <c r="D44" s="486">
        <v>25.6</v>
      </c>
      <c r="E44" s="497">
        <v>83.3</v>
      </c>
      <c r="F44" s="497">
        <v>83.7</v>
      </c>
      <c r="G44" s="498">
        <v>84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18">
        <v>7.4</v>
      </c>
      <c r="P44" s="19">
        <v>7.8</v>
      </c>
      <c r="Q44" s="19">
        <v>1.7</v>
      </c>
      <c r="R44" s="19">
        <v>7.6</v>
      </c>
      <c r="S44" s="19">
        <v>7.8</v>
      </c>
      <c r="T44" s="19">
        <v>8.1</v>
      </c>
      <c r="U44" s="264">
        <f t="shared" si="7"/>
        <v>40.4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87.1</v>
      </c>
      <c r="C45" s="497">
        <v>86.4</v>
      </c>
      <c r="D45" s="497">
        <v>25.6</v>
      </c>
      <c r="E45" s="486">
        <v>85.5</v>
      </c>
      <c r="F45" s="486">
        <v>85.6</v>
      </c>
      <c r="G45" s="498">
        <v>84</v>
      </c>
      <c r="H45" s="265">
        <f t="shared" si="6"/>
        <v>454.20000000000005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7.8</v>
      </c>
      <c r="Q45" s="19">
        <v>1.7</v>
      </c>
      <c r="R45" s="19">
        <v>7.6</v>
      </c>
      <c r="S45" s="19">
        <v>7.8</v>
      </c>
      <c r="T45" s="19">
        <v>8.1</v>
      </c>
      <c r="U45" s="264">
        <f t="shared" si="7"/>
        <v>40.4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588</v>
      </c>
      <c r="C46" s="120">
        <f t="shared" si="8"/>
        <v>583.29999999999995</v>
      </c>
      <c r="D46" s="120">
        <f t="shared" si="8"/>
        <v>175</v>
      </c>
      <c r="E46" s="120">
        <f t="shared" si="8"/>
        <v>584.29999999999995</v>
      </c>
      <c r="F46" s="120">
        <f t="shared" si="8"/>
        <v>586.19999999999993</v>
      </c>
      <c r="G46" s="120">
        <f t="shared" si="8"/>
        <v>586.6</v>
      </c>
      <c r="H46" s="275">
        <f t="shared" si="6"/>
        <v>3103.3999999999996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54.399999999999991</v>
      </c>
      <c r="Q46" s="120">
        <f t="shared" si="9"/>
        <v>13.899999999999999</v>
      </c>
      <c r="R46" s="120">
        <f t="shared" si="9"/>
        <v>52.800000000000004</v>
      </c>
      <c r="S46" s="120">
        <f t="shared" si="9"/>
        <v>54.199999999999996</v>
      </c>
      <c r="T46" s="120">
        <f t="shared" si="9"/>
        <v>56.300000000000004</v>
      </c>
      <c r="U46" s="326">
        <f t="shared" si="7"/>
        <v>284.2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138.71</v>
      </c>
      <c r="C47" s="24">
        <v>136.87</v>
      </c>
      <c r="D47" s="24">
        <v>136.87</v>
      </c>
      <c r="E47" s="24">
        <v>135.49</v>
      </c>
      <c r="F47" s="24">
        <v>135.03</v>
      </c>
      <c r="G47" s="24">
        <v>132</v>
      </c>
      <c r="H47" s="128">
        <f>+((H46/H48)/7)*1000</f>
        <v>132.45977207734003</v>
      </c>
      <c r="I47" s="50"/>
      <c r="J47" s="49"/>
      <c r="K47" s="49"/>
      <c r="L47" s="49"/>
      <c r="N47" s="453" t="s">
        <v>11</v>
      </c>
      <c r="O47" s="23">
        <v>143.5</v>
      </c>
      <c r="P47" s="24">
        <v>144.5</v>
      </c>
      <c r="Q47" s="24">
        <v>144.5</v>
      </c>
      <c r="R47" s="24">
        <v>144.5</v>
      </c>
      <c r="S47" s="24">
        <v>145.5</v>
      </c>
      <c r="T47" s="24">
        <v>146</v>
      </c>
      <c r="U47" s="234">
        <f>+((U46/U48)/7)*1000</f>
        <v>145.51971326164875</v>
      </c>
      <c r="V47" s="50"/>
    </row>
    <row r="48" spans="1:31" ht="33.75" customHeight="1" x14ac:dyDescent="0.25">
      <c r="A48" s="149" t="s">
        <v>12</v>
      </c>
      <c r="B48" s="26">
        <v>628</v>
      </c>
      <c r="C48" s="27">
        <v>631</v>
      </c>
      <c r="D48" s="27">
        <v>187</v>
      </c>
      <c r="E48" s="27">
        <v>631</v>
      </c>
      <c r="F48" s="27">
        <v>634</v>
      </c>
      <c r="G48" s="27">
        <v>636</v>
      </c>
      <c r="H48" s="129">
        <f>SUM(B48:G48)</f>
        <v>3347</v>
      </c>
      <c r="I48" s="41"/>
      <c r="J48" s="41"/>
      <c r="K48" s="41"/>
      <c r="L48" s="49"/>
      <c r="M48" s="51"/>
      <c r="N48" s="149" t="s">
        <v>12</v>
      </c>
      <c r="O48" s="241">
        <v>52</v>
      </c>
      <c r="P48" s="278">
        <v>54</v>
      </c>
      <c r="Q48" s="278">
        <v>13</v>
      </c>
      <c r="R48" s="278">
        <v>52</v>
      </c>
      <c r="S48" s="278">
        <v>53</v>
      </c>
      <c r="T48" s="278">
        <v>55</v>
      </c>
      <c r="U48" s="235">
        <f>SUM(O48:T48)</f>
        <v>279</v>
      </c>
      <c r="V48" s="52"/>
    </row>
    <row r="49" spans="1:30" ht="33.75" customHeight="1" x14ac:dyDescent="0.25">
      <c r="A49" s="150" t="s">
        <v>13</v>
      </c>
      <c r="B49" s="30">
        <f>((((B47*7)*B48)/1000))/7</f>
        <v>87.109880000000004</v>
      </c>
      <c r="C49" s="30">
        <f t="shared" ref="C49:G49" si="10">((((C47*7)*C48)/1000))/7</f>
        <v>86.36497</v>
      </c>
      <c r="D49" s="30">
        <f t="shared" si="10"/>
        <v>25.594690000000003</v>
      </c>
      <c r="E49" s="30">
        <f t="shared" si="10"/>
        <v>85.494190000000003</v>
      </c>
      <c r="F49" s="30">
        <f t="shared" si="10"/>
        <v>85.609020000000001</v>
      </c>
      <c r="G49" s="30">
        <f t="shared" si="10"/>
        <v>83.951999999999998</v>
      </c>
      <c r="H49" s="130">
        <f>((H46*1000)/H48)/7</f>
        <v>132.45977207734003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7.4468000000000005</v>
      </c>
      <c r="P49" s="31">
        <f t="shared" si="11"/>
        <v>7.8442000000000007</v>
      </c>
      <c r="Q49" s="31">
        <f t="shared" si="11"/>
        <v>1.6698999999999997</v>
      </c>
      <c r="R49" s="31">
        <f t="shared" si="11"/>
        <v>7.5596000000000005</v>
      </c>
      <c r="S49" s="31">
        <f t="shared" si="11"/>
        <v>7.7561000000000009</v>
      </c>
      <c r="T49" s="31">
        <f t="shared" si="11"/>
        <v>8.081999999999999</v>
      </c>
      <c r="U49" s="253">
        <f>((U46*1000)/U48)/7</f>
        <v>145.51971326164875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609.76916000000006</v>
      </c>
      <c r="C50" s="282">
        <f t="shared" si="12"/>
        <v>604.55479000000003</v>
      </c>
      <c r="D50" s="282">
        <f t="shared" si="12"/>
        <v>179.16283000000001</v>
      </c>
      <c r="E50" s="282">
        <f t="shared" si="12"/>
        <v>598.45933000000002</v>
      </c>
      <c r="F50" s="282">
        <f t="shared" si="12"/>
        <v>599.26314000000002</v>
      </c>
      <c r="G50" s="282">
        <f t="shared" si="12"/>
        <v>587.66399999999999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52.234000000000002</v>
      </c>
      <c r="P50" s="282">
        <f t="shared" si="13"/>
        <v>54.621000000000002</v>
      </c>
      <c r="Q50" s="282">
        <f t="shared" si="13"/>
        <v>13.1495</v>
      </c>
      <c r="R50" s="282">
        <f t="shared" si="13"/>
        <v>52.597999999999999</v>
      </c>
      <c r="S50" s="282">
        <f t="shared" si="13"/>
        <v>53.980499999999999</v>
      </c>
      <c r="T50" s="282">
        <f t="shared" si="13"/>
        <v>56.21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133.7579617834395</v>
      </c>
      <c r="C51" s="38">
        <f t="shared" si="14"/>
        <v>132.05795788997057</v>
      </c>
      <c r="D51" s="38">
        <f t="shared" si="14"/>
        <v>133.68983957219251</v>
      </c>
      <c r="E51" s="38">
        <f t="shared" si="14"/>
        <v>132.28435589766809</v>
      </c>
      <c r="F51" s="38">
        <f t="shared" si="14"/>
        <v>132.08652546191976</v>
      </c>
      <c r="G51" s="38">
        <f t="shared" si="14"/>
        <v>131.76100628930817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144.50549450549448</v>
      </c>
      <c r="P51" s="38">
        <f t="shared" si="15"/>
        <v>143.91534391534393</v>
      </c>
      <c r="Q51" s="38">
        <f t="shared" si="15"/>
        <v>152.74725274725273</v>
      </c>
      <c r="R51" s="38">
        <f t="shared" si="15"/>
        <v>145.05494505494508</v>
      </c>
      <c r="S51" s="38">
        <f t="shared" si="15"/>
        <v>146.09164420485175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21.769160000000056</v>
      </c>
      <c r="C52" s="42">
        <f t="shared" ref="C52:G53" si="16">C50-C46</f>
        <v>21.254790000000071</v>
      </c>
      <c r="D52" s="42">
        <f t="shared" si="16"/>
        <v>4.1628300000000138</v>
      </c>
      <c r="E52" s="42">
        <f t="shared" si="16"/>
        <v>14.159330000000068</v>
      </c>
      <c r="F52" s="42">
        <f t="shared" si="16"/>
        <v>13.063140000000089</v>
      </c>
      <c r="G52" s="42">
        <f t="shared" si="16"/>
        <v>1.0639999999999645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-0.36599999999999966</v>
      </c>
      <c r="P52" s="42">
        <f t="shared" si="17"/>
        <v>0.22100000000001074</v>
      </c>
      <c r="Q52" s="42">
        <f t="shared" si="17"/>
        <v>-0.75049999999999883</v>
      </c>
      <c r="R52" s="42">
        <f t="shared" si="17"/>
        <v>-0.20200000000000529</v>
      </c>
      <c r="S52" s="42">
        <f t="shared" si="17"/>
        <v>-0.21949999999999648</v>
      </c>
      <c r="T52" s="42">
        <f t="shared" si="17"/>
        <v>-9.0000000000003411E-2</v>
      </c>
    </row>
    <row r="53" spans="1:30" ht="33.75" customHeight="1" x14ac:dyDescent="0.25">
      <c r="A53" s="41"/>
      <c r="B53" s="42">
        <f>B51-B47</f>
        <v>-4.9520382165605099</v>
      </c>
      <c r="C53" s="42">
        <f t="shared" si="16"/>
        <v>-4.8120421100294379</v>
      </c>
      <c r="D53" s="42">
        <f t="shared" si="16"/>
        <v>-3.1801604278074933</v>
      </c>
      <c r="E53" s="42">
        <f t="shared" si="16"/>
        <v>-3.2056441023319167</v>
      </c>
      <c r="F53" s="42">
        <f t="shared" si="16"/>
        <v>-2.9434745380802383</v>
      </c>
      <c r="G53" s="42">
        <f t="shared" si="16"/>
        <v>-0.23899371069182962</v>
      </c>
      <c r="I53" s="2"/>
      <c r="J53" s="2"/>
      <c r="K53" s="45"/>
      <c r="L53" s="41"/>
      <c r="M53" s="42"/>
      <c r="N53" s="42"/>
      <c r="O53" s="42">
        <f t="shared" si="17"/>
        <v>1.0054945054944824</v>
      </c>
      <c r="P53" s="42">
        <f t="shared" si="17"/>
        <v>-0.58465608465607488</v>
      </c>
      <c r="Q53" s="42">
        <f t="shared" si="17"/>
        <v>8.2472527472527304</v>
      </c>
      <c r="R53" s="42">
        <f t="shared" si="17"/>
        <v>0.55494505494507962</v>
      </c>
      <c r="S53" s="42">
        <f t="shared" si="17"/>
        <v>0.59164420485174674</v>
      </c>
      <c r="T53" s="42">
        <f t="shared" si="17"/>
        <v>0.23376623376623229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8"/>
      <c r="P56" s="1018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8.1999999999999993</v>
      </c>
      <c r="D60" s="19">
        <v>8.1999999999999993</v>
      </c>
      <c r="E60" s="19">
        <v>2.5</v>
      </c>
      <c r="F60" s="19">
        <v>8</v>
      </c>
      <c r="G60" s="19">
        <v>8.1999999999999993</v>
      </c>
      <c r="H60" s="104">
        <v>8.1999999999999993</v>
      </c>
      <c r="I60" s="18">
        <v>8.6</v>
      </c>
      <c r="J60" s="19">
        <v>8.6999999999999993</v>
      </c>
      <c r="K60" s="19">
        <v>8.6999999999999993</v>
      </c>
      <c r="L60" s="267">
        <v>2.7</v>
      </c>
      <c r="M60" s="267">
        <v>8.6999999999999993</v>
      </c>
      <c r="N60" s="19">
        <v>8.5</v>
      </c>
      <c r="O60" s="474">
        <v>8.5</v>
      </c>
      <c r="P60" s="281">
        <v>8.6999999999999993</v>
      </c>
      <c r="Q60" s="282">
        <v>8.6</v>
      </c>
      <c r="R60" s="282">
        <v>8.5</v>
      </c>
      <c r="S60" s="282">
        <v>2.6</v>
      </c>
      <c r="T60" s="282">
        <v>8.8000000000000007</v>
      </c>
      <c r="U60" s="282">
        <v>8.6999999999999993</v>
      </c>
      <c r="V60" s="282">
        <v>8.6</v>
      </c>
      <c r="W60" s="98">
        <f t="shared" ref="W60:W66" si="18">SUM(B60:V60)</f>
        <v>160.30000000000001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8.1999999999999993</v>
      </c>
      <c r="D61" s="19">
        <v>8.1999999999999993</v>
      </c>
      <c r="E61" s="19">
        <v>2.5</v>
      </c>
      <c r="F61" s="19">
        <v>8</v>
      </c>
      <c r="G61" s="19">
        <v>8.1999999999999993</v>
      </c>
      <c r="H61" s="104">
        <v>8.1999999999999993</v>
      </c>
      <c r="I61" s="18">
        <v>8.6</v>
      </c>
      <c r="J61" s="19">
        <v>8.6999999999999993</v>
      </c>
      <c r="K61" s="19">
        <v>8.6999999999999993</v>
      </c>
      <c r="L61" s="267">
        <v>2.7</v>
      </c>
      <c r="M61" s="267">
        <v>8.6999999999999993</v>
      </c>
      <c r="N61" s="19">
        <v>8.5</v>
      </c>
      <c r="O61" s="474">
        <v>8.5</v>
      </c>
      <c r="P61" s="281">
        <v>8.6999999999999993</v>
      </c>
      <c r="Q61" s="282">
        <v>8.6</v>
      </c>
      <c r="R61" s="282">
        <v>8.5</v>
      </c>
      <c r="S61" s="282">
        <v>2.6</v>
      </c>
      <c r="T61" s="282">
        <v>8.8000000000000007</v>
      </c>
      <c r="U61" s="282">
        <v>8.6999999999999993</v>
      </c>
      <c r="V61" s="282">
        <v>8.6</v>
      </c>
      <c r="W61" s="98">
        <f t="shared" si="18"/>
        <v>160.30000000000001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8.4</v>
      </c>
      <c r="D62" s="19">
        <v>8.4</v>
      </c>
      <c r="E62" s="19">
        <v>2.5</v>
      </c>
      <c r="F62" s="19">
        <v>8.3000000000000007</v>
      </c>
      <c r="G62" s="19">
        <v>8.4</v>
      </c>
      <c r="H62" s="104">
        <v>8.4</v>
      </c>
      <c r="I62" s="18">
        <v>8.8000000000000007</v>
      </c>
      <c r="J62" s="19">
        <v>8.9</v>
      </c>
      <c r="K62" s="19">
        <v>8.9</v>
      </c>
      <c r="L62" s="267">
        <v>2.7</v>
      </c>
      <c r="M62" s="267">
        <v>8.9</v>
      </c>
      <c r="N62" s="19">
        <v>8.6999999999999993</v>
      </c>
      <c r="O62" s="474">
        <v>8.6999999999999993</v>
      </c>
      <c r="P62" s="281">
        <v>8.9</v>
      </c>
      <c r="Q62" s="282">
        <v>8.8000000000000007</v>
      </c>
      <c r="R62" s="282">
        <v>8.6999999999999993</v>
      </c>
      <c r="S62" s="282">
        <v>2.7</v>
      </c>
      <c r="T62" s="282">
        <v>9</v>
      </c>
      <c r="U62" s="282">
        <v>9</v>
      </c>
      <c r="V62" s="282">
        <v>8.8000000000000007</v>
      </c>
      <c r="W62" s="98">
        <f t="shared" si="18"/>
        <v>164.20000000000002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8.3000000000000007</v>
      </c>
      <c r="C63" s="19">
        <v>8.4</v>
      </c>
      <c r="D63" s="19">
        <v>8.4</v>
      </c>
      <c r="E63" s="19">
        <v>2.5</v>
      </c>
      <c r="F63" s="19">
        <v>8.3000000000000007</v>
      </c>
      <c r="G63" s="19">
        <v>8.4</v>
      </c>
      <c r="H63" s="104">
        <v>8.4</v>
      </c>
      <c r="I63" s="18">
        <v>8.8000000000000007</v>
      </c>
      <c r="J63" s="19">
        <v>8.9</v>
      </c>
      <c r="K63" s="19">
        <v>8.9</v>
      </c>
      <c r="L63" s="267">
        <v>2.7</v>
      </c>
      <c r="M63" s="267">
        <v>8.9</v>
      </c>
      <c r="N63" s="19">
        <v>8.6999999999999993</v>
      </c>
      <c r="O63" s="474">
        <v>8.6999999999999993</v>
      </c>
      <c r="P63" s="281">
        <v>8.9</v>
      </c>
      <c r="Q63" s="282">
        <v>8.8000000000000007</v>
      </c>
      <c r="R63" s="282">
        <v>8.6999999999999993</v>
      </c>
      <c r="S63" s="282">
        <v>2.7</v>
      </c>
      <c r="T63" s="282">
        <v>9</v>
      </c>
      <c r="U63" s="282">
        <v>8.8000000000000007</v>
      </c>
      <c r="V63" s="282">
        <v>8.8000000000000007</v>
      </c>
      <c r="W63" s="98">
        <f t="shared" si="18"/>
        <v>164.00000000000003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8.3000000000000007</v>
      </c>
      <c r="C64" s="19">
        <v>8.4</v>
      </c>
      <c r="D64" s="19">
        <v>8.4</v>
      </c>
      <c r="E64" s="19">
        <v>2.5</v>
      </c>
      <c r="F64" s="19">
        <v>8.1</v>
      </c>
      <c r="G64" s="19">
        <v>8.4</v>
      </c>
      <c r="H64" s="104">
        <v>8.4</v>
      </c>
      <c r="I64" s="18">
        <v>8.8000000000000007</v>
      </c>
      <c r="J64" s="19">
        <v>8.9</v>
      </c>
      <c r="K64" s="19">
        <v>8.9</v>
      </c>
      <c r="L64" s="267">
        <v>2.7</v>
      </c>
      <c r="M64" s="267">
        <v>8.9</v>
      </c>
      <c r="N64" s="19">
        <v>8.6999999999999993</v>
      </c>
      <c r="O64" s="474">
        <v>8.6999999999999993</v>
      </c>
      <c r="P64" s="281">
        <v>8.9</v>
      </c>
      <c r="Q64" s="282">
        <v>8.8000000000000007</v>
      </c>
      <c r="R64" s="282">
        <v>8.6999999999999993</v>
      </c>
      <c r="S64" s="282">
        <v>2.7</v>
      </c>
      <c r="T64" s="282">
        <v>9</v>
      </c>
      <c r="U64" s="282">
        <v>8.8000000000000007</v>
      </c>
      <c r="V64" s="282">
        <v>8.8000000000000007</v>
      </c>
      <c r="W64" s="98">
        <f t="shared" si="18"/>
        <v>163.80000000000004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8.3000000000000007</v>
      </c>
      <c r="C65" s="19">
        <v>8.4</v>
      </c>
      <c r="D65" s="19">
        <v>8.4</v>
      </c>
      <c r="E65" s="19">
        <v>2.5</v>
      </c>
      <c r="F65" s="19">
        <v>8.1</v>
      </c>
      <c r="G65" s="19">
        <v>8.4</v>
      </c>
      <c r="H65" s="104">
        <v>8.4</v>
      </c>
      <c r="I65" s="18">
        <v>8.8000000000000007</v>
      </c>
      <c r="J65" s="19">
        <v>8.6999999999999993</v>
      </c>
      <c r="K65" s="19">
        <v>8.9</v>
      </c>
      <c r="L65" s="267">
        <v>2.7</v>
      </c>
      <c r="M65" s="267">
        <v>8.9</v>
      </c>
      <c r="N65" s="19">
        <v>8.6999999999999993</v>
      </c>
      <c r="O65" s="474">
        <v>8.6999999999999993</v>
      </c>
      <c r="P65" s="281">
        <v>8.9</v>
      </c>
      <c r="Q65" s="282">
        <v>8.8000000000000007</v>
      </c>
      <c r="R65" s="282">
        <v>8.6999999999999993</v>
      </c>
      <c r="S65" s="282">
        <v>2.7</v>
      </c>
      <c r="T65" s="282">
        <v>9</v>
      </c>
      <c r="U65" s="282">
        <v>8.8000000000000007</v>
      </c>
      <c r="V65" s="282">
        <v>8.8000000000000007</v>
      </c>
      <c r="W65" s="98">
        <f t="shared" si="18"/>
        <v>163.60000000000002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8.3000000000000007</v>
      </c>
      <c r="C66" s="19">
        <v>8.4</v>
      </c>
      <c r="D66" s="19">
        <v>8.4</v>
      </c>
      <c r="E66" s="19">
        <v>2.5</v>
      </c>
      <c r="F66" s="19">
        <v>8.1</v>
      </c>
      <c r="G66" s="19">
        <v>8.4</v>
      </c>
      <c r="H66" s="104">
        <v>8.4</v>
      </c>
      <c r="I66" s="18">
        <v>8.8000000000000007</v>
      </c>
      <c r="J66" s="19">
        <v>8.6999999999999993</v>
      </c>
      <c r="K66" s="19">
        <v>8.9</v>
      </c>
      <c r="L66" s="267">
        <v>2.7</v>
      </c>
      <c r="M66" s="267">
        <v>8.9</v>
      </c>
      <c r="N66" s="19">
        <v>8.6999999999999993</v>
      </c>
      <c r="O66" s="474">
        <v>8.6999999999999993</v>
      </c>
      <c r="P66" s="281">
        <v>8.9</v>
      </c>
      <c r="Q66" s="282">
        <v>8.8000000000000007</v>
      </c>
      <c r="R66" s="282">
        <v>8.6999999999999993</v>
      </c>
      <c r="S66" s="282">
        <v>2.7</v>
      </c>
      <c r="T66" s="282">
        <v>9</v>
      </c>
      <c r="U66" s="282">
        <v>8.8000000000000007</v>
      </c>
      <c r="V66" s="282">
        <v>8.8000000000000007</v>
      </c>
      <c r="W66" s="98">
        <f t="shared" si="18"/>
        <v>163.60000000000002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57.699999999999989</v>
      </c>
      <c r="C67" s="120">
        <f>SUM(C60:C66)</f>
        <v>58.399999999999991</v>
      </c>
      <c r="D67" s="120">
        <f t="shared" ref="D67:V67" si="19">SUM(D60:D66)</f>
        <v>58.399999999999991</v>
      </c>
      <c r="E67" s="120">
        <f t="shared" si="19"/>
        <v>17.5</v>
      </c>
      <c r="F67" s="120">
        <f t="shared" si="19"/>
        <v>56.900000000000006</v>
      </c>
      <c r="G67" s="120">
        <f t="shared" si="19"/>
        <v>58.399999999999991</v>
      </c>
      <c r="H67" s="268">
        <f t="shared" si="19"/>
        <v>58.399999999999991</v>
      </c>
      <c r="I67" s="122">
        <f t="shared" si="19"/>
        <v>61.199999999999989</v>
      </c>
      <c r="J67" s="120">
        <f t="shared" si="19"/>
        <v>61.5</v>
      </c>
      <c r="K67" s="120">
        <f t="shared" si="19"/>
        <v>61.899999999999991</v>
      </c>
      <c r="L67" s="120">
        <f t="shared" si="19"/>
        <v>18.899999999999999</v>
      </c>
      <c r="M67" s="120">
        <f t="shared" si="19"/>
        <v>61.899999999999991</v>
      </c>
      <c r="N67" s="120">
        <f t="shared" si="19"/>
        <v>60.5</v>
      </c>
      <c r="O67" s="121">
        <f t="shared" si="19"/>
        <v>60.5</v>
      </c>
      <c r="P67" s="122">
        <f t="shared" si="19"/>
        <v>61.899999999999991</v>
      </c>
      <c r="Q67" s="120">
        <f t="shared" si="19"/>
        <v>61.199999999999989</v>
      </c>
      <c r="R67" s="120">
        <f t="shared" si="19"/>
        <v>60.5</v>
      </c>
      <c r="S67" s="120">
        <f t="shared" si="19"/>
        <v>18.7</v>
      </c>
      <c r="T67" s="120">
        <f t="shared" si="19"/>
        <v>62.6</v>
      </c>
      <c r="U67" s="120">
        <f t="shared" si="19"/>
        <v>61.599999999999994</v>
      </c>
      <c r="V67" s="121">
        <f t="shared" si="19"/>
        <v>61.199999999999989</v>
      </c>
      <c r="W67" s="361">
        <f>SUM(W60:W66)</f>
        <v>1139.8000000000002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149.5</v>
      </c>
      <c r="C68" s="24">
        <v>149.5</v>
      </c>
      <c r="D68" s="24">
        <v>149.5</v>
      </c>
      <c r="E68" s="24">
        <v>148.5</v>
      </c>
      <c r="F68" s="24">
        <v>149</v>
      </c>
      <c r="G68" s="24">
        <v>149.5</v>
      </c>
      <c r="H68" s="155">
        <v>149.5</v>
      </c>
      <c r="I68" s="23">
        <v>148</v>
      </c>
      <c r="J68" s="24">
        <v>149.5</v>
      </c>
      <c r="K68" s="24">
        <v>149.5</v>
      </c>
      <c r="L68" s="24">
        <v>149.5</v>
      </c>
      <c r="M68" s="24">
        <v>149.5</v>
      </c>
      <c r="N68" s="24">
        <v>149</v>
      </c>
      <c r="O68" s="25">
        <v>148.5</v>
      </c>
      <c r="P68" s="23">
        <v>149.5</v>
      </c>
      <c r="Q68" s="24">
        <v>148.5</v>
      </c>
      <c r="R68" s="24">
        <v>149</v>
      </c>
      <c r="S68" s="24">
        <v>149</v>
      </c>
      <c r="T68" s="24">
        <v>149</v>
      </c>
      <c r="U68" s="24">
        <v>148.5</v>
      </c>
      <c r="V68" s="25">
        <v>148</v>
      </c>
      <c r="W68" s="99">
        <f>((W67/W69)/7)*1000</f>
        <v>149.24708655231115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58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59</v>
      </c>
      <c r="V69" s="28">
        <v>59</v>
      </c>
      <c r="W69" s="29">
        <f>SUM(B69:V69)</f>
        <v>1091</v>
      </c>
    </row>
    <row r="70" spans="1:26" ht="33.75" customHeight="1" x14ac:dyDescent="0.25">
      <c r="A70" s="150" t="s">
        <v>13</v>
      </c>
      <c r="B70" s="358">
        <f>((((B68*7)*B69)/1000)-(B60+B61))/5</f>
        <v>8.2714999999999996</v>
      </c>
      <c r="C70" s="31">
        <f t="shared" ref="C70:V70" si="20">((((C68*7)*C69)/1000)-(C60+C61))/5</f>
        <v>8.4407999999999994</v>
      </c>
      <c r="D70" s="31">
        <f t="shared" si="20"/>
        <v>8.4407999999999994</v>
      </c>
      <c r="E70" s="31">
        <f t="shared" si="20"/>
        <v>2.5343000000000004</v>
      </c>
      <c r="F70" s="31">
        <f t="shared" si="20"/>
        <v>8.0644000000000009</v>
      </c>
      <c r="G70" s="31">
        <f t="shared" si="20"/>
        <v>8.4407999999999994</v>
      </c>
      <c r="H70" s="464">
        <f t="shared" si="20"/>
        <v>8.4407999999999994</v>
      </c>
      <c r="I70" s="358">
        <f t="shared" si="20"/>
        <v>8.7848000000000006</v>
      </c>
      <c r="J70" s="31">
        <f t="shared" si="20"/>
        <v>8.6594000000000015</v>
      </c>
      <c r="K70" s="31">
        <f t="shared" si="20"/>
        <v>8.8687000000000005</v>
      </c>
      <c r="L70" s="31">
        <f t="shared" si="20"/>
        <v>2.6873999999999998</v>
      </c>
      <c r="M70" s="31">
        <f t="shared" si="20"/>
        <v>8.8687000000000005</v>
      </c>
      <c r="N70" s="31">
        <f t="shared" si="20"/>
        <v>8.6988000000000003</v>
      </c>
      <c r="O70" s="322">
        <f t="shared" si="20"/>
        <v>8.658199999999999</v>
      </c>
      <c r="P70" s="30">
        <f t="shared" si="20"/>
        <v>8.8687000000000005</v>
      </c>
      <c r="Q70" s="31">
        <f t="shared" si="20"/>
        <v>8.8261000000000003</v>
      </c>
      <c r="R70" s="31">
        <f t="shared" si="20"/>
        <v>8.6988000000000003</v>
      </c>
      <c r="S70" s="31">
        <f t="shared" si="20"/>
        <v>2.7148000000000003</v>
      </c>
      <c r="T70" s="31">
        <f t="shared" si="20"/>
        <v>8.9959999999999987</v>
      </c>
      <c r="U70" s="31">
        <f t="shared" si="20"/>
        <v>8.7861000000000011</v>
      </c>
      <c r="V70" s="32">
        <f t="shared" si="20"/>
        <v>8.7848000000000006</v>
      </c>
      <c r="W70" s="362">
        <f>((W67*1000)/7)/W69</f>
        <v>149.24708655231115</v>
      </c>
    </row>
    <row r="71" spans="1:26" ht="33.75" customHeight="1" x14ac:dyDescent="0.25">
      <c r="A71" s="151" t="s">
        <v>14</v>
      </c>
      <c r="B71" s="281">
        <f>((B69*B68)*7)/1000</f>
        <v>57.557499999999997</v>
      </c>
      <c r="C71" s="282">
        <f>((C69*C68)*7)/1000</f>
        <v>58.603999999999999</v>
      </c>
      <c r="D71" s="282">
        <f t="shared" ref="D71:V71" si="21">((D69*D68)*7)/1000</f>
        <v>58.603999999999999</v>
      </c>
      <c r="E71" s="282">
        <f t="shared" si="21"/>
        <v>17.671500000000002</v>
      </c>
      <c r="F71" s="282">
        <f t="shared" si="21"/>
        <v>56.322000000000003</v>
      </c>
      <c r="G71" s="282">
        <f t="shared" si="21"/>
        <v>58.603999999999999</v>
      </c>
      <c r="H71" s="283">
        <f t="shared" si="21"/>
        <v>58.603999999999999</v>
      </c>
      <c r="I71" s="281">
        <f t="shared" si="21"/>
        <v>61.124000000000002</v>
      </c>
      <c r="J71" s="282">
        <f t="shared" si="21"/>
        <v>60.697000000000003</v>
      </c>
      <c r="K71" s="282">
        <f t="shared" si="21"/>
        <v>61.743499999999997</v>
      </c>
      <c r="L71" s="282">
        <f t="shared" si="21"/>
        <v>18.837</v>
      </c>
      <c r="M71" s="282">
        <f t="shared" si="21"/>
        <v>61.743499999999997</v>
      </c>
      <c r="N71" s="282">
        <f t="shared" si="21"/>
        <v>60.494</v>
      </c>
      <c r="O71" s="284">
        <f t="shared" si="21"/>
        <v>60.290999999999997</v>
      </c>
      <c r="P71" s="281">
        <f t="shared" si="21"/>
        <v>61.743499999999997</v>
      </c>
      <c r="Q71" s="282">
        <f t="shared" si="21"/>
        <v>61.330500000000001</v>
      </c>
      <c r="R71" s="282">
        <f t="shared" si="21"/>
        <v>60.494</v>
      </c>
      <c r="S71" s="282">
        <f t="shared" si="21"/>
        <v>18.774000000000001</v>
      </c>
      <c r="T71" s="282">
        <f t="shared" si="21"/>
        <v>62.58</v>
      </c>
      <c r="U71" s="282">
        <f t="shared" si="21"/>
        <v>61.330500000000001</v>
      </c>
      <c r="V71" s="284">
        <f t="shared" si="21"/>
        <v>61.124000000000002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149.87012987012986</v>
      </c>
      <c r="C72" s="38">
        <f t="shared" ref="C72:V72" si="22">+(C67/C69)/7*1000</f>
        <v>148.97959183673467</v>
      </c>
      <c r="D72" s="38">
        <f t="shared" si="22"/>
        <v>148.97959183673467</v>
      </c>
      <c r="E72" s="38">
        <f t="shared" si="22"/>
        <v>147.05882352941174</v>
      </c>
      <c r="F72" s="38">
        <f t="shared" si="22"/>
        <v>150.52910052910053</v>
      </c>
      <c r="G72" s="38">
        <f t="shared" si="22"/>
        <v>148.97959183673467</v>
      </c>
      <c r="H72" s="158">
        <f t="shared" si="22"/>
        <v>148.97959183673467</v>
      </c>
      <c r="I72" s="37">
        <f t="shared" si="22"/>
        <v>148.18401937046002</v>
      </c>
      <c r="J72" s="38">
        <f t="shared" si="22"/>
        <v>151.47783251231525</v>
      </c>
      <c r="K72" s="38">
        <f t="shared" si="22"/>
        <v>149.87893462469731</v>
      </c>
      <c r="L72" s="38">
        <f t="shared" si="22"/>
        <v>149.99999999999997</v>
      </c>
      <c r="M72" s="38">
        <f t="shared" si="22"/>
        <v>149.87893462469731</v>
      </c>
      <c r="N72" s="38">
        <f t="shared" si="22"/>
        <v>149.01477832512316</v>
      </c>
      <c r="O72" s="39">
        <f t="shared" si="22"/>
        <v>149.01477832512316</v>
      </c>
      <c r="P72" s="37">
        <f t="shared" si="22"/>
        <v>149.87893462469731</v>
      </c>
      <c r="Q72" s="38">
        <f t="shared" si="22"/>
        <v>148.18401937046002</v>
      </c>
      <c r="R72" s="38">
        <f t="shared" si="22"/>
        <v>149.01477832512316</v>
      </c>
      <c r="S72" s="38">
        <f t="shared" si="22"/>
        <v>148.41269841269838</v>
      </c>
      <c r="T72" s="38">
        <f t="shared" si="22"/>
        <v>149.04761904761907</v>
      </c>
      <c r="U72" s="38">
        <f t="shared" si="22"/>
        <v>149.15254237288136</v>
      </c>
      <c r="V72" s="39">
        <f t="shared" si="22"/>
        <v>148.18401937046002</v>
      </c>
      <c r="W72" s="40"/>
    </row>
    <row r="73" spans="1:26" ht="33.75" customHeight="1" x14ac:dyDescent="0.25">
      <c r="A73" s="41"/>
      <c r="B73" s="42">
        <f>B71-B67</f>
        <v>-0.14249999999999119</v>
      </c>
      <c r="C73" s="42">
        <f t="shared" ref="C73:V74" si="23">C71-C67</f>
        <v>0.20400000000000773</v>
      </c>
      <c r="D73" s="42">
        <f t="shared" si="23"/>
        <v>0.20400000000000773</v>
      </c>
      <c r="E73" s="42">
        <f t="shared" si="23"/>
        <v>0.17150000000000176</v>
      </c>
      <c r="F73" s="42">
        <f t="shared" si="23"/>
        <v>-0.57800000000000296</v>
      </c>
      <c r="G73" s="42">
        <f t="shared" si="23"/>
        <v>0.20400000000000773</v>
      </c>
      <c r="H73" s="42">
        <f t="shared" si="23"/>
        <v>0.20400000000000773</v>
      </c>
      <c r="I73" s="42">
        <f t="shared" si="23"/>
        <v>-7.5999999999986301E-2</v>
      </c>
      <c r="J73" s="42">
        <f t="shared" si="23"/>
        <v>-0.80299999999999727</v>
      </c>
      <c r="K73" s="42">
        <f t="shared" si="23"/>
        <v>-0.15649999999999409</v>
      </c>
      <c r="L73" s="42">
        <f t="shared" si="23"/>
        <v>-6.2999999999998835E-2</v>
      </c>
      <c r="M73" s="42">
        <f t="shared" si="23"/>
        <v>-0.15649999999999409</v>
      </c>
      <c r="N73" s="42">
        <f t="shared" si="23"/>
        <v>-6.0000000000002274E-3</v>
      </c>
      <c r="O73" s="42">
        <f t="shared" si="23"/>
        <v>-0.20900000000000318</v>
      </c>
      <c r="P73" s="42">
        <f t="shared" si="23"/>
        <v>-0.15649999999999409</v>
      </c>
      <c r="Q73" s="42">
        <f t="shared" si="23"/>
        <v>0.13050000000001205</v>
      </c>
      <c r="R73" s="42">
        <f t="shared" si="23"/>
        <v>-6.0000000000002274E-3</v>
      </c>
      <c r="S73" s="42">
        <f t="shared" si="23"/>
        <v>7.400000000000162E-2</v>
      </c>
      <c r="T73" s="42">
        <f t="shared" si="23"/>
        <v>-2.0000000000003126E-2</v>
      </c>
      <c r="U73" s="42">
        <f t="shared" si="23"/>
        <v>-0.26949999999999363</v>
      </c>
      <c r="V73" s="42">
        <f t="shared" si="23"/>
        <v>-7.5999999999986301E-2</v>
      </c>
      <c r="W73" s="42"/>
      <c r="X73" s="42"/>
    </row>
    <row r="74" spans="1:26" ht="33.75" customHeight="1" x14ac:dyDescent="0.25">
      <c r="A74" s="41"/>
      <c r="B74" s="42">
        <f>B72-B68</f>
        <v>0.37012987012985832</v>
      </c>
      <c r="C74" s="42">
        <f t="shared" si="23"/>
        <v>-0.5204081632653299</v>
      </c>
      <c r="D74" s="42">
        <f t="shared" si="23"/>
        <v>-0.5204081632653299</v>
      </c>
      <c r="E74" s="42">
        <f t="shared" si="23"/>
        <v>-1.4411764705882604</v>
      </c>
      <c r="F74" s="42">
        <f t="shared" si="23"/>
        <v>1.529100529100532</v>
      </c>
      <c r="G74" s="42">
        <f t="shared" si="23"/>
        <v>-0.5204081632653299</v>
      </c>
      <c r="H74" s="42">
        <f t="shared" si="23"/>
        <v>-0.5204081632653299</v>
      </c>
      <c r="I74" s="42">
        <f t="shared" si="23"/>
        <v>0.18401937046002104</v>
      </c>
      <c r="J74" s="42">
        <f t="shared" si="23"/>
        <v>1.9778325123152456</v>
      </c>
      <c r="K74" s="42">
        <f t="shared" si="23"/>
        <v>0.37893462469730821</v>
      </c>
      <c r="L74" s="42">
        <f t="shared" si="23"/>
        <v>0.49999999999997158</v>
      </c>
      <c r="M74" s="42">
        <f t="shared" si="23"/>
        <v>0.37893462469730821</v>
      </c>
      <c r="N74" s="42">
        <f t="shared" si="23"/>
        <v>1.477832512316013E-2</v>
      </c>
      <c r="O74" s="42">
        <f t="shared" si="23"/>
        <v>0.51477832512316013</v>
      </c>
      <c r="P74" s="42">
        <f t="shared" si="23"/>
        <v>0.37893462469730821</v>
      </c>
      <c r="Q74" s="42">
        <f>Q72-Q68</f>
        <v>-0.31598062953997896</v>
      </c>
      <c r="R74" s="42">
        <f t="shared" si="23"/>
        <v>1.477832512316013E-2</v>
      </c>
      <c r="S74" s="42">
        <f t="shared" si="23"/>
        <v>-0.58730158730162429</v>
      </c>
      <c r="T74" s="42">
        <f t="shared" si="23"/>
        <v>4.7619047619065213E-2</v>
      </c>
      <c r="U74" s="42">
        <f t="shared" si="23"/>
        <v>0.65254237288135641</v>
      </c>
      <c r="V74" s="42">
        <f t="shared" si="23"/>
        <v>0.18401937046002104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42"/>
  <dimension ref="A1:AE244"/>
  <sheetViews>
    <sheetView zoomScale="30" zoomScaleNormal="30" workbookViewId="0">
      <selection activeCell="I3" sqref="I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28</v>
      </c>
      <c r="Q11" s="1022"/>
      <c r="R11" s="6"/>
      <c r="S11" s="1" t="s">
        <v>6</v>
      </c>
      <c r="T11" s="95">
        <v>45571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83.7</v>
      </c>
      <c r="C18" s="509">
        <v>84.1</v>
      </c>
      <c r="D18" s="497">
        <v>82.9</v>
      </c>
      <c r="E18" s="497">
        <v>25.7</v>
      </c>
      <c r="F18" s="509">
        <v>83.6</v>
      </c>
      <c r="G18" s="497">
        <v>81.900000000000006</v>
      </c>
      <c r="H18" s="498">
        <v>81.099999999999994</v>
      </c>
      <c r="I18" s="511">
        <v>89.7</v>
      </c>
      <c r="J18" s="497">
        <v>86.2</v>
      </c>
      <c r="K18" s="497">
        <v>85.8</v>
      </c>
      <c r="L18" s="509">
        <v>25.6</v>
      </c>
      <c r="M18" s="509">
        <v>87.4</v>
      </c>
      <c r="N18" s="497">
        <v>83.7</v>
      </c>
      <c r="O18" s="510">
        <v>82.9</v>
      </c>
      <c r="P18" s="133">
        <v>86.8</v>
      </c>
      <c r="Q18" s="509">
        <v>89</v>
      </c>
      <c r="R18" s="509">
        <v>89.1</v>
      </c>
      <c r="S18" s="497">
        <v>27.3</v>
      </c>
      <c r="T18" s="497">
        <v>87.8</v>
      </c>
      <c r="U18" s="509">
        <v>88.3</v>
      </c>
      <c r="V18" s="498">
        <v>83</v>
      </c>
      <c r="W18" s="98">
        <f t="shared" ref="W18:W24" si="0">SUM(B18:V18)</f>
        <v>1615.6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12">
        <v>85.8</v>
      </c>
      <c r="C19" s="497">
        <v>84.1</v>
      </c>
      <c r="D19" s="513">
        <v>84.8</v>
      </c>
      <c r="E19" s="497">
        <v>25.7</v>
      </c>
      <c r="F19" s="497">
        <v>83.6</v>
      </c>
      <c r="G19" s="509">
        <v>83.7</v>
      </c>
      <c r="H19" s="514">
        <v>81.099999999999994</v>
      </c>
      <c r="I19" s="126">
        <v>89.7</v>
      </c>
      <c r="J19" s="497">
        <v>86.2</v>
      </c>
      <c r="K19" s="509">
        <v>87.6</v>
      </c>
      <c r="L19" s="497">
        <v>25.4</v>
      </c>
      <c r="M19" s="497">
        <v>87.4</v>
      </c>
      <c r="N19" s="509">
        <v>85.9</v>
      </c>
      <c r="O19" s="498">
        <v>82.9</v>
      </c>
      <c r="P19" s="508">
        <v>88.7</v>
      </c>
      <c r="Q19" s="497">
        <v>89</v>
      </c>
      <c r="R19" s="497">
        <v>89.1</v>
      </c>
      <c r="S19" s="513">
        <v>27.9</v>
      </c>
      <c r="T19" s="509">
        <v>89.7</v>
      </c>
      <c r="U19" s="497">
        <v>88.3</v>
      </c>
      <c r="V19" s="498">
        <v>83</v>
      </c>
      <c r="W19" s="98">
        <f t="shared" si="0"/>
        <v>1629.6000000000001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85.8</v>
      </c>
      <c r="C20" s="497">
        <v>84.1</v>
      </c>
      <c r="D20" s="497">
        <v>84.8</v>
      </c>
      <c r="E20" s="513">
        <v>26.4</v>
      </c>
      <c r="F20" s="497">
        <v>83.4</v>
      </c>
      <c r="G20" s="497">
        <v>83.7</v>
      </c>
      <c r="H20" s="498">
        <v>81.099999999999994</v>
      </c>
      <c r="I20" s="126">
        <v>89.7</v>
      </c>
      <c r="J20" s="513">
        <v>88.3</v>
      </c>
      <c r="K20" s="497">
        <v>87.6</v>
      </c>
      <c r="L20" s="513">
        <v>26</v>
      </c>
      <c r="M20" s="513">
        <v>89.5</v>
      </c>
      <c r="N20" s="497">
        <v>85.9</v>
      </c>
      <c r="O20" s="498">
        <v>82.9</v>
      </c>
      <c r="P20" s="133">
        <v>88.7</v>
      </c>
      <c r="Q20" s="513">
        <v>91.1</v>
      </c>
      <c r="R20" s="513">
        <v>91</v>
      </c>
      <c r="S20" s="497">
        <v>27.9</v>
      </c>
      <c r="T20" s="497">
        <v>89.7</v>
      </c>
      <c r="U20" s="513">
        <v>90.5</v>
      </c>
      <c r="V20" s="510">
        <v>84.9</v>
      </c>
      <c r="W20" s="98">
        <f t="shared" si="0"/>
        <v>1643.0000000000002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85.8</v>
      </c>
      <c r="C21" s="513">
        <v>86.1</v>
      </c>
      <c r="D21" s="497">
        <v>84.8</v>
      </c>
      <c r="E21" s="497">
        <v>26.4</v>
      </c>
      <c r="F21" s="516">
        <v>85.6</v>
      </c>
      <c r="G21" s="516">
        <v>85.6</v>
      </c>
      <c r="H21" s="517">
        <v>85.3</v>
      </c>
      <c r="I21" s="518">
        <v>92</v>
      </c>
      <c r="J21" s="497">
        <v>88.3</v>
      </c>
      <c r="K21" s="516">
        <v>89.7</v>
      </c>
      <c r="L21" s="497">
        <v>26</v>
      </c>
      <c r="M21" s="497">
        <v>89.5</v>
      </c>
      <c r="N21" s="516">
        <v>88.3</v>
      </c>
      <c r="O21" s="509">
        <v>85.3</v>
      </c>
      <c r="P21" s="133">
        <v>88.5</v>
      </c>
      <c r="Q21" s="497">
        <v>91.1</v>
      </c>
      <c r="R21" s="497">
        <v>91</v>
      </c>
      <c r="S21" s="497">
        <v>27.9</v>
      </c>
      <c r="T21" s="516">
        <v>91.7</v>
      </c>
      <c r="U21" s="497">
        <v>90.4</v>
      </c>
      <c r="V21" s="498">
        <v>84.9</v>
      </c>
      <c r="W21" s="98">
        <f t="shared" si="0"/>
        <v>1664.2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21">
        <v>88.1</v>
      </c>
      <c r="C22" s="497">
        <v>86.1</v>
      </c>
      <c r="D22" s="497">
        <v>84.8</v>
      </c>
      <c r="E22" s="522">
        <v>27.1</v>
      </c>
      <c r="F22" s="497">
        <v>85.6</v>
      </c>
      <c r="G22" s="497">
        <v>85.5</v>
      </c>
      <c r="H22" s="498">
        <v>85.1</v>
      </c>
      <c r="I22" s="126">
        <v>91.7</v>
      </c>
      <c r="J22" s="522">
        <v>90.6</v>
      </c>
      <c r="K22" s="497">
        <v>89.7</v>
      </c>
      <c r="L22" s="497">
        <v>26</v>
      </c>
      <c r="M22" s="497">
        <v>89.4</v>
      </c>
      <c r="N22" s="497">
        <v>88.3</v>
      </c>
      <c r="O22" s="497">
        <v>85.1</v>
      </c>
      <c r="P22" s="512">
        <v>90.6</v>
      </c>
      <c r="Q22" s="497">
        <v>91.1</v>
      </c>
      <c r="R22" s="497">
        <v>90.7</v>
      </c>
      <c r="S22" s="497">
        <v>27.8</v>
      </c>
      <c r="T22" s="497">
        <v>91.7</v>
      </c>
      <c r="U22" s="497">
        <v>90.1</v>
      </c>
      <c r="V22" s="498">
        <v>84.9</v>
      </c>
      <c r="W22" s="98">
        <f t="shared" si="0"/>
        <v>1670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88.1</v>
      </c>
      <c r="C23" s="497">
        <v>86.1</v>
      </c>
      <c r="D23" s="522">
        <v>86.8</v>
      </c>
      <c r="E23" s="497">
        <v>27.1</v>
      </c>
      <c r="F23" s="497">
        <v>85.6</v>
      </c>
      <c r="G23" s="497">
        <v>85.5</v>
      </c>
      <c r="H23" s="498">
        <v>85.1</v>
      </c>
      <c r="I23" s="523">
        <v>94.4</v>
      </c>
      <c r="J23" s="497">
        <v>90.6</v>
      </c>
      <c r="K23" s="497">
        <v>89.7</v>
      </c>
      <c r="L23" s="522">
        <v>26.8</v>
      </c>
      <c r="M23" s="522">
        <v>91.8</v>
      </c>
      <c r="N23" s="522">
        <v>91</v>
      </c>
      <c r="O23" s="513">
        <v>87.7</v>
      </c>
      <c r="P23" s="133">
        <v>90.5</v>
      </c>
      <c r="Q23" s="497">
        <v>91.1</v>
      </c>
      <c r="R23" s="497">
        <v>90.7</v>
      </c>
      <c r="S23" s="522">
        <v>28.5</v>
      </c>
      <c r="T23" s="497">
        <v>91.4</v>
      </c>
      <c r="U23" s="497">
        <v>90.1</v>
      </c>
      <c r="V23" s="498">
        <v>84.8</v>
      </c>
      <c r="W23" s="98">
        <f t="shared" si="0"/>
        <v>1683.3999999999999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88.1</v>
      </c>
      <c r="C24" s="522">
        <v>88.3</v>
      </c>
      <c r="D24" s="497">
        <v>86.8</v>
      </c>
      <c r="E24" s="497">
        <v>27</v>
      </c>
      <c r="F24" s="522">
        <v>88</v>
      </c>
      <c r="G24" s="497">
        <v>85.5</v>
      </c>
      <c r="H24" s="498">
        <v>85.1</v>
      </c>
      <c r="I24" s="126">
        <v>94.4</v>
      </c>
      <c r="J24" s="383">
        <v>93.1</v>
      </c>
      <c r="K24" s="497">
        <v>89.7</v>
      </c>
      <c r="L24" s="497">
        <v>26.6</v>
      </c>
      <c r="M24" s="497">
        <v>91.8</v>
      </c>
      <c r="N24" s="497">
        <v>91</v>
      </c>
      <c r="O24" s="497">
        <v>87.7</v>
      </c>
      <c r="P24" s="133">
        <v>90.5</v>
      </c>
      <c r="Q24" s="522">
        <v>93.4</v>
      </c>
      <c r="R24" s="522">
        <v>93</v>
      </c>
      <c r="S24" s="497">
        <v>28.5</v>
      </c>
      <c r="T24" s="497">
        <v>91.4</v>
      </c>
      <c r="U24" s="522">
        <v>92.6</v>
      </c>
      <c r="V24" s="524">
        <v>87</v>
      </c>
      <c r="W24" s="98">
        <f t="shared" si="0"/>
        <v>1699.5000000000002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605.40000000000009</v>
      </c>
      <c r="C25" s="120">
        <f>SUM(C18:C24)</f>
        <v>598.9</v>
      </c>
      <c r="D25" s="120">
        <f t="shared" ref="D25:V25" si="1">SUM(D18:D24)</f>
        <v>595.70000000000005</v>
      </c>
      <c r="E25" s="120">
        <f t="shared" si="1"/>
        <v>185.39999999999998</v>
      </c>
      <c r="F25" s="120">
        <f t="shared" si="1"/>
        <v>595.4</v>
      </c>
      <c r="G25" s="120">
        <f t="shared" si="1"/>
        <v>591.4</v>
      </c>
      <c r="H25" s="121">
        <f t="shared" si="1"/>
        <v>583.9</v>
      </c>
      <c r="I25" s="122">
        <f t="shared" si="1"/>
        <v>641.6</v>
      </c>
      <c r="J25" s="120">
        <f t="shared" si="1"/>
        <v>623.30000000000007</v>
      </c>
      <c r="K25" s="120">
        <f t="shared" si="1"/>
        <v>619.80000000000007</v>
      </c>
      <c r="L25" s="120">
        <f t="shared" si="1"/>
        <v>182.4</v>
      </c>
      <c r="M25" s="120">
        <f t="shared" si="1"/>
        <v>626.79999999999995</v>
      </c>
      <c r="N25" s="120">
        <f t="shared" si="1"/>
        <v>614.1</v>
      </c>
      <c r="O25" s="121">
        <f t="shared" si="1"/>
        <v>594.5</v>
      </c>
      <c r="P25" s="122">
        <f t="shared" si="1"/>
        <v>624.29999999999995</v>
      </c>
      <c r="Q25" s="120">
        <f t="shared" si="1"/>
        <v>635.80000000000007</v>
      </c>
      <c r="R25" s="120">
        <f t="shared" si="1"/>
        <v>634.6</v>
      </c>
      <c r="S25" s="120">
        <f t="shared" si="1"/>
        <v>195.8</v>
      </c>
      <c r="T25" s="120">
        <f t="shared" si="1"/>
        <v>633.4</v>
      </c>
      <c r="U25" s="120">
        <f t="shared" si="1"/>
        <v>630.30000000000007</v>
      </c>
      <c r="V25" s="121">
        <f t="shared" si="1"/>
        <v>592.5</v>
      </c>
      <c r="W25" s="361">
        <f>SUM(W18:W24)</f>
        <v>11605.3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150.00800000000001</v>
      </c>
      <c r="C26" s="488">
        <v>150.22</v>
      </c>
      <c r="D26" s="488">
        <v>150.66</v>
      </c>
      <c r="E26" s="24">
        <v>149.12</v>
      </c>
      <c r="F26" s="24">
        <v>149.34</v>
      </c>
      <c r="G26" s="24">
        <v>146.15</v>
      </c>
      <c r="H26" s="25">
        <v>144.74</v>
      </c>
      <c r="I26" s="487">
        <v>153.77000000000001</v>
      </c>
      <c r="J26" s="488">
        <v>154.38</v>
      </c>
      <c r="K26" s="488">
        <v>145.59</v>
      </c>
      <c r="L26" s="488">
        <v>148.02000000000001</v>
      </c>
      <c r="M26" s="24">
        <v>149.34</v>
      </c>
      <c r="N26" s="24">
        <v>148.02000000000001</v>
      </c>
      <c r="O26" s="25">
        <v>142.19999999999999</v>
      </c>
      <c r="P26" s="487">
        <v>146.43</v>
      </c>
      <c r="Q26" s="488">
        <v>149.66</v>
      </c>
      <c r="R26" s="488">
        <v>150.66</v>
      </c>
      <c r="S26" s="488">
        <v>150.66</v>
      </c>
      <c r="T26" s="24">
        <v>147</v>
      </c>
      <c r="U26" s="24">
        <v>149.34</v>
      </c>
      <c r="V26" s="25">
        <v>139.63999999999999</v>
      </c>
      <c r="W26" s="99">
        <f>((W25/W27)/7)*1000</f>
        <v>144.58009941571464</v>
      </c>
    </row>
    <row r="27" spans="1:31" s="2" customFormat="1" ht="33" customHeight="1" x14ac:dyDescent="0.25">
      <c r="A27" s="149" t="s">
        <v>12</v>
      </c>
      <c r="B27" s="26">
        <v>587</v>
      </c>
      <c r="C27" s="27">
        <v>588</v>
      </c>
      <c r="D27" s="27">
        <v>576</v>
      </c>
      <c r="E27" s="27">
        <v>181</v>
      </c>
      <c r="F27" s="27">
        <v>589</v>
      </c>
      <c r="G27" s="27">
        <v>585</v>
      </c>
      <c r="H27" s="28">
        <v>588</v>
      </c>
      <c r="I27" s="26">
        <v>614</v>
      </c>
      <c r="J27" s="27">
        <v>603</v>
      </c>
      <c r="K27" s="27">
        <v>616</v>
      </c>
      <c r="L27" s="27">
        <v>180</v>
      </c>
      <c r="M27" s="27">
        <v>615</v>
      </c>
      <c r="N27" s="27">
        <v>615</v>
      </c>
      <c r="O27" s="28">
        <v>617</v>
      </c>
      <c r="P27" s="26">
        <v>618</v>
      </c>
      <c r="Q27" s="27">
        <v>624</v>
      </c>
      <c r="R27" s="27">
        <v>617</v>
      </c>
      <c r="S27" s="27">
        <v>189</v>
      </c>
      <c r="T27" s="27">
        <v>622</v>
      </c>
      <c r="U27" s="27">
        <v>620</v>
      </c>
      <c r="V27" s="28">
        <v>623</v>
      </c>
      <c r="W27" s="29">
        <f>SUM(B27:V27)</f>
        <v>11467</v>
      </c>
    </row>
    <row r="28" spans="1:31" s="2" customFormat="1" ht="33" customHeight="1" x14ac:dyDescent="0.25">
      <c r="A28" s="150" t="s">
        <v>13</v>
      </c>
      <c r="B28" s="30">
        <f>((((B26*7)*B27)/1000))/7</f>
        <v>88.054696000000007</v>
      </c>
      <c r="C28" s="31">
        <f t="shared" ref="C28:V28" si="2">((((C26*7)*C27)/1000))/7</f>
        <v>88.329359999999994</v>
      </c>
      <c r="D28" s="31">
        <f t="shared" si="2"/>
        <v>86.780159999999981</v>
      </c>
      <c r="E28" s="31">
        <f t="shared" si="2"/>
        <v>26.990720000000007</v>
      </c>
      <c r="F28" s="31">
        <f t="shared" si="2"/>
        <v>87.96126000000001</v>
      </c>
      <c r="G28" s="31">
        <f t="shared" si="2"/>
        <v>85.497749999999996</v>
      </c>
      <c r="H28" s="32">
        <f t="shared" si="2"/>
        <v>85.107120000000009</v>
      </c>
      <c r="I28" s="30">
        <f t="shared" si="2"/>
        <v>94.414780000000022</v>
      </c>
      <c r="J28" s="31">
        <f t="shared" si="2"/>
        <v>93.091139999999982</v>
      </c>
      <c r="K28" s="31">
        <f t="shared" si="2"/>
        <v>89.68343999999999</v>
      </c>
      <c r="L28" s="31">
        <f t="shared" si="2"/>
        <v>26.643599999999999</v>
      </c>
      <c r="M28" s="31">
        <f t="shared" si="2"/>
        <v>91.844100000000012</v>
      </c>
      <c r="N28" s="31">
        <f t="shared" si="2"/>
        <v>91.032300000000006</v>
      </c>
      <c r="O28" s="32">
        <f t="shared" si="2"/>
        <v>87.737399999999994</v>
      </c>
      <c r="P28" s="30">
        <f t="shared" si="2"/>
        <v>90.493740000000003</v>
      </c>
      <c r="Q28" s="31">
        <f t="shared" si="2"/>
        <v>93.387839999999983</v>
      </c>
      <c r="R28" s="31">
        <f t="shared" si="2"/>
        <v>92.957219999999992</v>
      </c>
      <c r="S28" s="31">
        <f t="shared" si="2"/>
        <v>28.474739999999997</v>
      </c>
      <c r="T28" s="31">
        <f t="shared" si="2"/>
        <v>91.433999999999997</v>
      </c>
      <c r="U28" s="31">
        <f t="shared" si="2"/>
        <v>92.590800000000016</v>
      </c>
      <c r="V28" s="32">
        <f t="shared" si="2"/>
        <v>86.995719999999992</v>
      </c>
      <c r="W28" s="362">
        <f>((W25*1000)/7)/W27</f>
        <v>144.58009941571467</v>
      </c>
    </row>
    <row r="29" spans="1:31" ht="33.75" customHeight="1" x14ac:dyDescent="0.25">
      <c r="A29" s="151" t="s">
        <v>14</v>
      </c>
      <c r="B29" s="281">
        <f>((B27*B26)*7)/1000</f>
        <v>616.38287200000013</v>
      </c>
      <c r="C29" s="282">
        <f>((C27*C26)*7)/1000</f>
        <v>618.30552</v>
      </c>
      <c r="D29" s="282">
        <f t="shared" ref="D29:V29" si="3">((D27*D26)*7)/1000</f>
        <v>607.46112000000005</v>
      </c>
      <c r="E29" s="282">
        <f t="shared" si="3"/>
        <v>188.93504000000001</v>
      </c>
      <c r="F29" s="282">
        <f t="shared" si="3"/>
        <v>615.72881999999993</v>
      </c>
      <c r="G29" s="282">
        <f t="shared" si="3"/>
        <v>598.48424999999997</v>
      </c>
      <c r="H29" s="284">
        <f t="shared" si="3"/>
        <v>595.74984000000006</v>
      </c>
      <c r="I29" s="281">
        <f t="shared" si="3"/>
        <v>660.90346000000011</v>
      </c>
      <c r="J29" s="282">
        <f t="shared" si="3"/>
        <v>651.63797999999997</v>
      </c>
      <c r="K29" s="282">
        <f t="shared" si="3"/>
        <v>627.78408000000013</v>
      </c>
      <c r="L29" s="282">
        <f t="shared" si="3"/>
        <v>186.5052</v>
      </c>
      <c r="M29" s="282">
        <f t="shared" si="3"/>
        <v>642.90870000000007</v>
      </c>
      <c r="N29" s="282">
        <f t="shared" si="3"/>
        <v>637.22609999999997</v>
      </c>
      <c r="O29" s="284">
        <f t="shared" si="3"/>
        <v>614.16179999999997</v>
      </c>
      <c r="P29" s="281">
        <f t="shared" si="3"/>
        <v>633.45618000000002</v>
      </c>
      <c r="Q29" s="282">
        <f t="shared" si="3"/>
        <v>653.71487999999999</v>
      </c>
      <c r="R29" s="282">
        <f t="shared" si="3"/>
        <v>650.70054000000005</v>
      </c>
      <c r="S29" s="282">
        <f t="shared" si="3"/>
        <v>199.32317999999998</v>
      </c>
      <c r="T29" s="282">
        <f t="shared" si="3"/>
        <v>640.03800000000001</v>
      </c>
      <c r="U29" s="282">
        <f t="shared" si="3"/>
        <v>648.13559999999995</v>
      </c>
      <c r="V29" s="284">
        <f t="shared" si="3"/>
        <v>608.97003999999993</v>
      </c>
      <c r="W29" s="36"/>
    </row>
    <row r="30" spans="1:31" ht="33.75" customHeight="1" thickBot="1" x14ac:dyDescent="0.3">
      <c r="A30" s="152" t="s">
        <v>15</v>
      </c>
      <c r="B30" s="37">
        <f>+(B25/B27)/7*1000</f>
        <v>147.33511803358485</v>
      </c>
      <c r="C30" s="38">
        <f t="shared" ref="C30:V30" si="4">+(C25/C27)/7*1000</f>
        <v>145.50534499514089</v>
      </c>
      <c r="D30" s="38">
        <f t="shared" si="4"/>
        <v>147.7430555555556</v>
      </c>
      <c r="E30" s="38">
        <f t="shared" si="4"/>
        <v>146.3299131807419</v>
      </c>
      <c r="F30" s="38">
        <f t="shared" si="4"/>
        <v>144.40941062333252</v>
      </c>
      <c r="G30" s="38">
        <f t="shared" si="4"/>
        <v>144.42002442002442</v>
      </c>
      <c r="H30" s="39">
        <f t="shared" si="4"/>
        <v>141.86103012633626</v>
      </c>
      <c r="I30" s="37">
        <f t="shared" si="4"/>
        <v>149.27873429502094</v>
      </c>
      <c r="J30" s="38">
        <f t="shared" si="4"/>
        <v>147.66642975598202</v>
      </c>
      <c r="K30" s="38">
        <f t="shared" si="4"/>
        <v>143.73840445269019</v>
      </c>
      <c r="L30" s="38">
        <f t="shared" si="4"/>
        <v>144.76190476190479</v>
      </c>
      <c r="M30" s="38">
        <f t="shared" si="4"/>
        <v>145.59814169570265</v>
      </c>
      <c r="N30" s="38">
        <f t="shared" si="4"/>
        <v>142.6480836236934</v>
      </c>
      <c r="O30" s="39">
        <f t="shared" si="4"/>
        <v>137.64760361194723</v>
      </c>
      <c r="P30" s="37">
        <f t="shared" si="4"/>
        <v>144.31345353675451</v>
      </c>
      <c r="Q30" s="38">
        <f t="shared" si="4"/>
        <v>145.55860805860806</v>
      </c>
      <c r="R30" s="38">
        <f t="shared" si="4"/>
        <v>146.93216022227367</v>
      </c>
      <c r="S30" s="38">
        <f t="shared" si="4"/>
        <v>147.99697656840513</v>
      </c>
      <c r="T30" s="38">
        <f t="shared" si="4"/>
        <v>145.47542489664676</v>
      </c>
      <c r="U30" s="38">
        <f t="shared" si="4"/>
        <v>145.2304147465438</v>
      </c>
      <c r="V30" s="39">
        <f t="shared" si="4"/>
        <v>135.863334097684</v>
      </c>
      <c r="W30" s="40"/>
    </row>
    <row r="31" spans="1:31" ht="33.75" customHeight="1" x14ac:dyDescent="0.25">
      <c r="A31" s="41"/>
      <c r="B31" s="42">
        <f>B29-B25</f>
        <v>10.982872000000043</v>
      </c>
      <c r="C31" s="42">
        <f t="shared" ref="C31:V32" si="5">C29-C25</f>
        <v>19.405520000000024</v>
      </c>
      <c r="D31" s="42">
        <f t="shared" si="5"/>
        <v>11.761120000000005</v>
      </c>
      <c r="E31" s="42">
        <f t="shared" si="5"/>
        <v>3.5350400000000377</v>
      </c>
      <c r="F31" s="42">
        <f t="shared" si="5"/>
        <v>20.328819999999951</v>
      </c>
      <c r="G31" s="42">
        <f t="shared" si="5"/>
        <v>7.0842499999999973</v>
      </c>
      <c r="H31" s="42">
        <f t="shared" si="5"/>
        <v>11.849840000000086</v>
      </c>
      <c r="I31" s="42">
        <f t="shared" si="5"/>
        <v>19.303460000000086</v>
      </c>
      <c r="J31" s="42">
        <f t="shared" si="5"/>
        <v>28.337979999999902</v>
      </c>
      <c r="K31" s="42">
        <f t="shared" si="5"/>
        <v>7.9840800000000627</v>
      </c>
      <c r="L31" s="42">
        <f t="shared" si="5"/>
        <v>4.1051999999999964</v>
      </c>
      <c r="M31" s="42">
        <f t="shared" si="5"/>
        <v>16.108700000000113</v>
      </c>
      <c r="N31" s="42">
        <f t="shared" si="5"/>
        <v>23.126099999999951</v>
      </c>
      <c r="O31" s="42">
        <f t="shared" si="5"/>
        <v>19.661799999999971</v>
      </c>
      <c r="P31" s="42">
        <f t="shared" si="5"/>
        <v>9.156180000000063</v>
      </c>
      <c r="Q31" s="42">
        <f t="shared" si="5"/>
        <v>17.914879999999926</v>
      </c>
      <c r="R31" s="42">
        <f t="shared" si="5"/>
        <v>16.100540000000024</v>
      </c>
      <c r="S31" s="42">
        <f t="shared" si="5"/>
        <v>3.523179999999968</v>
      </c>
      <c r="T31" s="42">
        <f t="shared" si="5"/>
        <v>6.6380000000000337</v>
      </c>
      <c r="U31" s="42">
        <f t="shared" si="5"/>
        <v>17.835599999999886</v>
      </c>
      <c r="V31" s="42">
        <f t="shared" si="5"/>
        <v>16.470039999999926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-2.6728819664151615</v>
      </c>
      <c r="C32" s="42">
        <f t="shared" si="5"/>
        <v>-4.7146550048591109</v>
      </c>
      <c r="D32" s="42">
        <f t="shared" si="5"/>
        <v>-2.9169444444443968</v>
      </c>
      <c r="E32" s="42">
        <f t="shared" si="5"/>
        <v>-2.7900868192581072</v>
      </c>
      <c r="F32" s="42">
        <f t="shared" si="5"/>
        <v>-4.9305893766674842</v>
      </c>
      <c r="G32" s="42">
        <f t="shared" si="5"/>
        <v>-1.7299755799755872</v>
      </c>
      <c r="H32" s="42">
        <f t="shared" si="5"/>
        <v>-2.878969873663749</v>
      </c>
      <c r="I32" s="42">
        <f t="shared" si="5"/>
        <v>-4.491265704979071</v>
      </c>
      <c r="J32" s="42">
        <f t="shared" si="5"/>
        <v>-6.7135702440179728</v>
      </c>
      <c r="K32" s="42">
        <f t="shared" si="5"/>
        <v>-1.8515955473098131</v>
      </c>
      <c r="L32" s="42">
        <f t="shared" si="5"/>
        <v>-3.2580952380952226</v>
      </c>
      <c r="M32" s="42">
        <f t="shared" si="5"/>
        <v>-3.7418583042973523</v>
      </c>
      <c r="N32" s="42">
        <f t="shared" si="5"/>
        <v>-5.3719163763066149</v>
      </c>
      <c r="O32" s="42">
        <f t="shared" si="5"/>
        <v>-4.552396388052756</v>
      </c>
      <c r="P32" s="42">
        <f t="shared" si="5"/>
        <v>-2.1165464632454984</v>
      </c>
      <c r="Q32" s="42">
        <f>Q30-Q26</f>
        <v>-4.1013919413919382</v>
      </c>
      <c r="R32" s="42">
        <f t="shared" si="5"/>
        <v>-3.7278397777263308</v>
      </c>
      <c r="S32" s="42">
        <f t="shared" si="5"/>
        <v>-2.6630234315948655</v>
      </c>
      <c r="T32" s="42">
        <f t="shared" si="5"/>
        <v>-1.5245751033532429</v>
      </c>
      <c r="U32" s="42">
        <f t="shared" si="5"/>
        <v>-4.1095852534562027</v>
      </c>
      <c r="V32" s="42">
        <f t="shared" si="5"/>
        <v>-3.7766659023159832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87.1</v>
      </c>
      <c r="C39" s="497">
        <v>86.4</v>
      </c>
      <c r="D39" s="497">
        <v>25.5</v>
      </c>
      <c r="E39" s="497">
        <v>85.5</v>
      </c>
      <c r="F39" s="497">
        <v>85.6</v>
      </c>
      <c r="G39" s="498">
        <v>84</v>
      </c>
      <c r="H39" s="326">
        <f t="shared" ref="H39:H46" si="6">SUM(B39:G39)</f>
        <v>454.1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7.8</v>
      </c>
      <c r="Q39" s="19">
        <v>1.9</v>
      </c>
      <c r="R39" s="19">
        <v>7.5</v>
      </c>
      <c r="S39" s="19">
        <v>7.7</v>
      </c>
      <c r="T39" s="19">
        <v>8</v>
      </c>
      <c r="U39" s="326">
        <f t="shared" ref="U39:U46" si="7">SUM(O39:T39)</f>
        <v>40.4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87.1</v>
      </c>
      <c r="C40" s="497">
        <v>86.2</v>
      </c>
      <c r="D40" s="497">
        <v>25.5</v>
      </c>
      <c r="E40" s="497">
        <v>85.5</v>
      </c>
      <c r="F40" s="497">
        <v>85.6</v>
      </c>
      <c r="G40" s="498">
        <v>84</v>
      </c>
      <c r="H40" s="264">
        <f t="shared" si="6"/>
        <v>453.9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7.8</v>
      </c>
      <c r="Q40" s="19">
        <v>1.9</v>
      </c>
      <c r="R40" s="19">
        <v>7.3</v>
      </c>
      <c r="S40" s="19">
        <v>7.7</v>
      </c>
      <c r="T40" s="19">
        <v>8</v>
      </c>
      <c r="U40" s="264">
        <f t="shared" si="7"/>
        <v>40.200000000000003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03">
        <v>87.9</v>
      </c>
      <c r="C41" s="497">
        <v>86.2</v>
      </c>
      <c r="D41" s="501">
        <v>25.9</v>
      </c>
      <c r="E41" s="497">
        <v>85.5</v>
      </c>
      <c r="F41" s="497">
        <v>85.5</v>
      </c>
      <c r="G41" s="499">
        <v>85.9</v>
      </c>
      <c r="H41" s="264">
        <f t="shared" si="6"/>
        <v>456.9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7.9</v>
      </c>
      <c r="Q41" s="19">
        <v>1.9</v>
      </c>
      <c r="R41" s="19">
        <v>7.5</v>
      </c>
      <c r="S41" s="19">
        <v>7.8</v>
      </c>
      <c r="T41" s="19">
        <v>8.1</v>
      </c>
      <c r="U41" s="264">
        <f t="shared" si="7"/>
        <v>40.700000000000003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87.9</v>
      </c>
      <c r="C42" s="497">
        <v>86.1</v>
      </c>
      <c r="D42" s="497">
        <v>25.9</v>
      </c>
      <c r="E42" s="501">
        <v>86.2</v>
      </c>
      <c r="F42" s="501">
        <v>86.3</v>
      </c>
      <c r="G42" s="498">
        <v>85.3</v>
      </c>
      <c r="H42" s="264">
        <f t="shared" si="6"/>
        <v>457.70000000000005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7.9</v>
      </c>
      <c r="Q42" s="19">
        <v>1.7</v>
      </c>
      <c r="R42" s="19">
        <v>7.5</v>
      </c>
      <c r="S42" s="19">
        <v>7.8</v>
      </c>
      <c r="T42" s="19">
        <v>8.1</v>
      </c>
      <c r="U42" s="264">
        <f t="shared" si="7"/>
        <v>40.5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87.9</v>
      </c>
      <c r="C43" s="501">
        <v>87.3</v>
      </c>
      <c r="D43" s="497">
        <v>25.9</v>
      </c>
      <c r="E43" s="497">
        <v>86.2</v>
      </c>
      <c r="F43" s="497">
        <v>86.3</v>
      </c>
      <c r="G43" s="498">
        <v>85.2</v>
      </c>
      <c r="H43" s="264">
        <f t="shared" si="6"/>
        <v>458.8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7.9</v>
      </c>
      <c r="Q43" s="19">
        <v>1.7</v>
      </c>
      <c r="R43" s="19">
        <v>7.5</v>
      </c>
      <c r="S43" s="19">
        <v>7.6</v>
      </c>
      <c r="T43" s="19">
        <v>8.1999999999999993</v>
      </c>
      <c r="U43" s="264">
        <f t="shared" si="7"/>
        <v>40.5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87.9</v>
      </c>
      <c r="C44" s="497">
        <v>87.3</v>
      </c>
      <c r="D44" s="497">
        <v>25.7</v>
      </c>
      <c r="E44" s="497">
        <v>86.2</v>
      </c>
      <c r="F44" s="497">
        <v>86.3</v>
      </c>
      <c r="G44" s="504">
        <v>86.4</v>
      </c>
      <c r="H44" s="264">
        <f t="shared" si="6"/>
        <v>459.79999999999995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7.9</v>
      </c>
      <c r="Q44" s="19">
        <v>1.7</v>
      </c>
      <c r="R44" s="19">
        <v>7.5</v>
      </c>
      <c r="S44" s="19">
        <v>7.6</v>
      </c>
      <c r="T44" s="19">
        <v>8.1999999999999993</v>
      </c>
      <c r="U44" s="264">
        <f t="shared" si="7"/>
        <v>40.5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505">
        <v>89.1</v>
      </c>
      <c r="C45" s="497">
        <v>87.2</v>
      </c>
      <c r="D45" s="506">
        <v>26.2</v>
      </c>
      <c r="E45" s="497">
        <v>86</v>
      </c>
      <c r="F45" s="506">
        <v>87.9</v>
      </c>
      <c r="G45" s="498">
        <v>86.3</v>
      </c>
      <c r="H45" s="265">
        <f t="shared" si="6"/>
        <v>462.7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8</v>
      </c>
      <c r="Q45" s="19">
        <v>1.7</v>
      </c>
      <c r="R45" s="19">
        <v>7.5</v>
      </c>
      <c r="S45" s="19">
        <v>7.6</v>
      </c>
      <c r="T45" s="19">
        <v>8.1999999999999993</v>
      </c>
      <c r="U45" s="264">
        <f t="shared" si="7"/>
        <v>40.400000000000006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614.9</v>
      </c>
      <c r="C46" s="120">
        <f t="shared" si="8"/>
        <v>606.70000000000005</v>
      </c>
      <c r="D46" s="120">
        <f t="shared" si="8"/>
        <v>180.6</v>
      </c>
      <c r="E46" s="120">
        <f t="shared" si="8"/>
        <v>601.1</v>
      </c>
      <c r="F46" s="120">
        <f t="shared" si="8"/>
        <v>603.5</v>
      </c>
      <c r="G46" s="121">
        <f t="shared" si="8"/>
        <v>597.09999999999991</v>
      </c>
      <c r="H46" s="275">
        <f t="shared" si="6"/>
        <v>3203.8999999999996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55.199999999999996</v>
      </c>
      <c r="Q46" s="120">
        <f t="shared" si="9"/>
        <v>12.499999999999998</v>
      </c>
      <c r="R46" s="120">
        <f t="shared" si="9"/>
        <v>52.3</v>
      </c>
      <c r="S46" s="120">
        <f t="shared" si="9"/>
        <v>53.800000000000004</v>
      </c>
      <c r="T46" s="120">
        <f t="shared" si="9"/>
        <v>56.800000000000011</v>
      </c>
      <c r="U46" s="326">
        <f t="shared" si="7"/>
        <v>283.20000000000005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142.99</v>
      </c>
      <c r="C47" s="520">
        <v>139.05000000000001</v>
      </c>
      <c r="D47" s="520">
        <v>141.54</v>
      </c>
      <c r="E47" s="24">
        <v>136.57</v>
      </c>
      <c r="F47" s="24">
        <v>139.37</v>
      </c>
      <c r="G47" s="25">
        <v>136.57</v>
      </c>
      <c r="H47" s="128">
        <f>+((H46/H48)/7)*1000</f>
        <v>137.53004807692307</v>
      </c>
      <c r="I47" s="50"/>
      <c r="J47" s="49"/>
      <c r="K47" s="49"/>
      <c r="L47" s="49"/>
      <c r="N47" s="453" t="s">
        <v>11</v>
      </c>
      <c r="O47" s="23">
        <v>145</v>
      </c>
      <c r="P47" s="24">
        <v>146</v>
      </c>
      <c r="Q47" s="24">
        <v>146.5</v>
      </c>
      <c r="R47" s="24">
        <v>146.5</v>
      </c>
      <c r="S47" s="24">
        <v>147</v>
      </c>
      <c r="T47" s="24">
        <v>147.5</v>
      </c>
      <c r="U47" s="234">
        <f>+((U46/U48)/7)*1000</f>
        <v>147.11688311688314</v>
      </c>
      <c r="V47" s="50"/>
    </row>
    <row r="48" spans="1:31" ht="33.75" customHeight="1" x14ac:dyDescent="0.25">
      <c r="A48" s="149" t="s">
        <v>12</v>
      </c>
      <c r="B48" s="26">
        <v>623</v>
      </c>
      <c r="C48" s="27">
        <v>627</v>
      </c>
      <c r="D48" s="27">
        <v>185</v>
      </c>
      <c r="E48" s="27">
        <v>630</v>
      </c>
      <c r="F48" s="27">
        <v>631</v>
      </c>
      <c r="G48" s="28">
        <v>632</v>
      </c>
      <c r="H48" s="129">
        <f>SUM(B48:G48)</f>
        <v>3328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12</v>
      </c>
      <c r="R48" s="278">
        <v>51</v>
      </c>
      <c r="S48" s="278">
        <v>52</v>
      </c>
      <c r="T48" s="278">
        <v>55</v>
      </c>
      <c r="U48" s="235">
        <f>SUM(O48:T48)</f>
        <v>275</v>
      </c>
      <c r="V48" s="52"/>
    </row>
    <row r="49" spans="1:30" ht="33.75" customHeight="1" x14ac:dyDescent="0.25">
      <c r="A49" s="150" t="s">
        <v>13</v>
      </c>
      <c r="B49" s="30">
        <f>(B48*B47)/1000</f>
        <v>89.082770000000011</v>
      </c>
      <c r="C49" s="30">
        <f t="shared" ref="C49:G49" si="10">(C48*C47)/1000</f>
        <v>87.184350000000009</v>
      </c>
      <c r="D49" s="30">
        <f t="shared" si="10"/>
        <v>26.184899999999999</v>
      </c>
      <c r="E49" s="30">
        <f t="shared" si="10"/>
        <v>86.039099999999991</v>
      </c>
      <c r="F49" s="30">
        <f t="shared" si="10"/>
        <v>87.94247</v>
      </c>
      <c r="G49" s="30">
        <f t="shared" si="10"/>
        <v>86.312239999999989</v>
      </c>
      <c r="H49" s="130">
        <f>((H46*1000)/H48)/7</f>
        <v>137.53004807692307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7.3529999999999998</v>
      </c>
      <c r="P49" s="31">
        <f t="shared" si="11"/>
        <v>7.9176000000000002</v>
      </c>
      <c r="Q49" s="31">
        <f t="shared" si="11"/>
        <v>1.7012</v>
      </c>
      <c r="R49" s="31">
        <f t="shared" si="11"/>
        <v>7.5001000000000007</v>
      </c>
      <c r="S49" s="31">
        <f t="shared" si="11"/>
        <v>7.6216000000000008</v>
      </c>
      <c r="T49" s="31">
        <f t="shared" si="11"/>
        <v>8.1575000000000006</v>
      </c>
      <c r="U49" s="253">
        <f>((U46*1000)/U48)/7</f>
        <v>147.11688311688314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623.57938999999999</v>
      </c>
      <c r="C50" s="282">
        <f t="shared" si="12"/>
        <v>610.29045000000008</v>
      </c>
      <c r="D50" s="282">
        <f t="shared" si="12"/>
        <v>183.29429999999999</v>
      </c>
      <c r="E50" s="282">
        <f t="shared" si="12"/>
        <v>602.27369999999996</v>
      </c>
      <c r="F50" s="282">
        <f t="shared" si="12"/>
        <v>615.59729000000004</v>
      </c>
      <c r="G50" s="284">
        <f t="shared" si="12"/>
        <v>604.18567999999993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51.765000000000001</v>
      </c>
      <c r="P50" s="282">
        <f t="shared" si="13"/>
        <v>55.188000000000002</v>
      </c>
      <c r="Q50" s="282">
        <f t="shared" si="13"/>
        <v>12.305999999999999</v>
      </c>
      <c r="R50" s="282">
        <f t="shared" si="13"/>
        <v>52.3005</v>
      </c>
      <c r="S50" s="282">
        <f t="shared" si="13"/>
        <v>53.508000000000003</v>
      </c>
      <c r="T50" s="282">
        <f t="shared" si="13"/>
        <v>56.787500000000001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140.99977069479476</v>
      </c>
      <c r="C51" s="38">
        <f t="shared" si="14"/>
        <v>138.2319434951014</v>
      </c>
      <c r="D51" s="38">
        <f t="shared" si="14"/>
        <v>139.45945945945945</v>
      </c>
      <c r="E51" s="38">
        <f t="shared" si="14"/>
        <v>136.30385487528346</v>
      </c>
      <c r="F51" s="38">
        <f t="shared" si="14"/>
        <v>136.63119764546073</v>
      </c>
      <c r="G51" s="39">
        <f t="shared" si="14"/>
        <v>134.96835443037972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147.33893557422971</v>
      </c>
      <c r="P51" s="38">
        <f t="shared" si="15"/>
        <v>146.03174603174602</v>
      </c>
      <c r="Q51" s="38">
        <f t="shared" si="15"/>
        <v>148.80952380952377</v>
      </c>
      <c r="R51" s="38">
        <f t="shared" si="15"/>
        <v>146.49859943977589</v>
      </c>
      <c r="S51" s="38">
        <f t="shared" si="15"/>
        <v>147.80219780219781</v>
      </c>
      <c r="T51" s="38">
        <f t="shared" si="15"/>
        <v>147.53246753246756</v>
      </c>
      <c r="U51" s="255"/>
      <c r="V51" s="42"/>
    </row>
    <row r="52" spans="1:30" ht="33.75" customHeight="1" x14ac:dyDescent="0.25">
      <c r="A52" s="41"/>
      <c r="B52" s="42">
        <f>B50-B46</f>
        <v>8.6793900000000122</v>
      </c>
      <c r="C52" s="42">
        <f t="shared" ref="C52:G53" si="16">C50-C46</f>
        <v>3.5904500000000326</v>
      </c>
      <c r="D52" s="42">
        <f t="shared" si="16"/>
        <v>2.6942999999999984</v>
      </c>
      <c r="E52" s="42">
        <f t="shared" si="16"/>
        <v>1.1736999999999398</v>
      </c>
      <c r="F52" s="42">
        <f t="shared" si="16"/>
        <v>12.097290000000044</v>
      </c>
      <c r="G52" s="42">
        <f t="shared" si="16"/>
        <v>7.0856800000000248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-0.83500000000000085</v>
      </c>
      <c r="P52" s="42">
        <f t="shared" si="17"/>
        <v>-1.1999999999993349E-2</v>
      </c>
      <c r="Q52" s="42">
        <f t="shared" si="17"/>
        <v>-0.19399999999999906</v>
      </c>
      <c r="R52" s="42">
        <f t="shared" si="17"/>
        <v>5.0000000000238742E-4</v>
      </c>
      <c r="S52" s="42">
        <f t="shared" si="17"/>
        <v>-0.29200000000000159</v>
      </c>
      <c r="T52" s="42">
        <f t="shared" si="17"/>
        <v>-1.2500000000009948E-2</v>
      </c>
    </row>
    <row r="53" spans="1:30" ht="33.75" customHeight="1" x14ac:dyDescent="0.25">
      <c r="A53" s="41"/>
      <c r="B53" s="42">
        <f>B51-B47</f>
        <v>-1.9902293052052471</v>
      </c>
      <c r="C53" s="42">
        <f t="shared" si="16"/>
        <v>-0.81805650489860682</v>
      </c>
      <c r="D53" s="42">
        <f t="shared" si="16"/>
        <v>-2.0805405405405395</v>
      </c>
      <c r="E53" s="42">
        <f t="shared" si="16"/>
        <v>-0.26614512471653029</v>
      </c>
      <c r="F53" s="42">
        <f t="shared" si="16"/>
        <v>-2.7388023545392741</v>
      </c>
      <c r="G53" s="42">
        <f t="shared" si="16"/>
        <v>-1.601645569620274</v>
      </c>
      <c r="I53" s="2"/>
      <c r="J53" s="2"/>
      <c r="K53" s="45"/>
      <c r="L53" s="41"/>
      <c r="M53" s="42"/>
      <c r="N53" s="42"/>
      <c r="O53" s="42">
        <f t="shared" si="17"/>
        <v>2.3389355742297084</v>
      </c>
      <c r="P53" s="42">
        <f t="shared" si="17"/>
        <v>3.1746031746024528E-2</v>
      </c>
      <c r="Q53" s="42">
        <f t="shared" si="17"/>
        <v>2.3095238095237676</v>
      </c>
      <c r="R53" s="42">
        <f t="shared" si="17"/>
        <v>-1.4005602241127235E-3</v>
      </c>
      <c r="S53" s="42">
        <f t="shared" si="17"/>
        <v>0.80219780219781001</v>
      </c>
      <c r="T53" s="42">
        <f t="shared" si="17"/>
        <v>3.2467532467563842E-2</v>
      </c>
      <c r="W53" s="3"/>
    </row>
    <row r="54" spans="1:30" ht="33.75" customHeight="1" x14ac:dyDescent="0.25">
      <c r="A54" s="41"/>
      <c r="B54" s="1050" t="s">
        <v>115</v>
      </c>
      <c r="C54" s="1050"/>
      <c r="D54" s="1050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8"/>
      <c r="P56" s="1018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8.1999999999999993</v>
      </c>
      <c r="C60" s="19">
        <v>8.4</v>
      </c>
      <c r="D60" s="19">
        <v>8.4</v>
      </c>
      <c r="E60" s="19">
        <v>2.5</v>
      </c>
      <c r="F60" s="19">
        <v>8.1</v>
      </c>
      <c r="G60" s="19">
        <v>8.4</v>
      </c>
      <c r="H60" s="104">
        <v>8.4</v>
      </c>
      <c r="I60" s="18">
        <v>8.6999999999999993</v>
      </c>
      <c r="J60" s="19">
        <v>8.6999999999999993</v>
      </c>
      <c r="K60" s="19">
        <v>8.8000000000000007</v>
      </c>
      <c r="L60" s="267">
        <v>2.7</v>
      </c>
      <c r="M60" s="267">
        <v>8.8000000000000007</v>
      </c>
      <c r="N60" s="19">
        <v>8.6999999999999993</v>
      </c>
      <c r="O60" s="474">
        <v>8.6</v>
      </c>
      <c r="P60" s="281">
        <v>8.8000000000000007</v>
      </c>
      <c r="Q60" s="282">
        <v>8.8000000000000007</v>
      </c>
      <c r="R60" s="282">
        <v>8.6999999999999993</v>
      </c>
      <c r="S60" s="282">
        <v>2.5</v>
      </c>
      <c r="T60" s="282">
        <v>9</v>
      </c>
      <c r="U60" s="282">
        <v>8.8000000000000007</v>
      </c>
      <c r="V60" s="283">
        <v>8.8000000000000007</v>
      </c>
      <c r="W60" s="264">
        <f t="shared" ref="W60:W66" si="18">SUM(B60:V60)</f>
        <v>162.80000000000001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8.1999999999999993</v>
      </c>
      <c r="C61" s="19">
        <v>8.4</v>
      </c>
      <c r="D61" s="19">
        <v>8.4</v>
      </c>
      <c r="E61" s="19">
        <v>2.5</v>
      </c>
      <c r="F61" s="19">
        <v>8.1</v>
      </c>
      <c r="G61" s="19">
        <v>8.4</v>
      </c>
      <c r="H61" s="104">
        <v>8.4</v>
      </c>
      <c r="I61" s="18">
        <v>8.6999999999999993</v>
      </c>
      <c r="J61" s="19">
        <v>8.6999999999999993</v>
      </c>
      <c r="K61" s="19">
        <v>8.8000000000000007</v>
      </c>
      <c r="L61" s="267">
        <v>2.7</v>
      </c>
      <c r="M61" s="267">
        <v>8.8000000000000007</v>
      </c>
      <c r="N61" s="19">
        <v>8.6999999999999993</v>
      </c>
      <c r="O61" s="474">
        <v>8.6</v>
      </c>
      <c r="P61" s="281">
        <v>8.8000000000000007</v>
      </c>
      <c r="Q61" s="282">
        <v>8.8000000000000007</v>
      </c>
      <c r="R61" s="282">
        <v>8.6999999999999993</v>
      </c>
      <c r="S61" s="282">
        <v>2.5</v>
      </c>
      <c r="T61" s="282">
        <v>9</v>
      </c>
      <c r="U61" s="282">
        <v>8.8000000000000007</v>
      </c>
      <c r="V61" s="283">
        <v>8.8000000000000007</v>
      </c>
      <c r="W61" s="264">
        <f t="shared" si="18"/>
        <v>162.80000000000001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8.5</v>
      </c>
      <c r="D62" s="19">
        <v>8.5</v>
      </c>
      <c r="E62" s="19">
        <v>2.5</v>
      </c>
      <c r="F62" s="19">
        <v>8.1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</v>
      </c>
      <c r="L62" s="267">
        <v>2.7</v>
      </c>
      <c r="M62" s="267">
        <v>9</v>
      </c>
      <c r="N62" s="19">
        <v>8.6999999999999993</v>
      </c>
      <c r="O62" s="474">
        <v>8.6999999999999993</v>
      </c>
      <c r="P62" s="281">
        <v>9</v>
      </c>
      <c r="Q62" s="282">
        <v>8.9</v>
      </c>
      <c r="R62" s="282">
        <v>8.6999999999999993</v>
      </c>
      <c r="S62" s="282">
        <v>2.6</v>
      </c>
      <c r="T62" s="282">
        <v>9</v>
      </c>
      <c r="U62" s="282">
        <v>8.9</v>
      </c>
      <c r="V62" s="283">
        <v>8.8000000000000007</v>
      </c>
      <c r="W62" s="264">
        <f t="shared" si="18"/>
        <v>164.60000000000002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8.5</v>
      </c>
      <c r="D63" s="19">
        <v>8.5</v>
      </c>
      <c r="E63" s="19">
        <v>2.6</v>
      </c>
      <c r="F63" s="19">
        <v>8.1999999999999993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</v>
      </c>
      <c r="L63" s="267">
        <v>2.7</v>
      </c>
      <c r="M63" s="267">
        <v>9</v>
      </c>
      <c r="N63" s="19">
        <v>8.8000000000000007</v>
      </c>
      <c r="O63" s="474">
        <v>8.8000000000000007</v>
      </c>
      <c r="P63" s="281">
        <v>9</v>
      </c>
      <c r="Q63" s="282">
        <v>8.9</v>
      </c>
      <c r="R63" s="282">
        <v>8.8000000000000007</v>
      </c>
      <c r="S63" s="282">
        <v>2.6</v>
      </c>
      <c r="T63" s="282">
        <v>9.1</v>
      </c>
      <c r="U63" s="282">
        <v>8.9</v>
      </c>
      <c r="V63" s="283">
        <v>8.9</v>
      </c>
      <c r="W63" s="264">
        <f t="shared" si="18"/>
        <v>165.4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8.5</v>
      </c>
      <c r="D64" s="19">
        <v>8.5</v>
      </c>
      <c r="E64" s="19">
        <v>2.6</v>
      </c>
      <c r="F64" s="19">
        <v>8.1999999999999993</v>
      </c>
      <c r="G64" s="19">
        <v>8.5</v>
      </c>
      <c r="H64" s="104">
        <v>8.5</v>
      </c>
      <c r="I64" s="18">
        <v>8.9</v>
      </c>
      <c r="J64" s="19">
        <v>8.6</v>
      </c>
      <c r="K64" s="19">
        <v>9</v>
      </c>
      <c r="L64" s="267">
        <v>2.7</v>
      </c>
      <c r="M64" s="267">
        <v>9</v>
      </c>
      <c r="N64" s="19">
        <v>8.8000000000000007</v>
      </c>
      <c r="O64" s="474">
        <v>8.8000000000000007</v>
      </c>
      <c r="P64" s="281">
        <v>9</v>
      </c>
      <c r="Q64" s="282">
        <v>8.9</v>
      </c>
      <c r="R64" s="282">
        <v>8.8000000000000007</v>
      </c>
      <c r="S64" s="282">
        <v>2.6</v>
      </c>
      <c r="T64" s="282">
        <v>9.1</v>
      </c>
      <c r="U64" s="282">
        <v>8.9</v>
      </c>
      <c r="V64" s="283">
        <v>8.6999999999999993</v>
      </c>
      <c r="W64" s="264">
        <f t="shared" si="18"/>
        <v>165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8.5</v>
      </c>
      <c r="D65" s="19">
        <v>8.5</v>
      </c>
      <c r="E65" s="19">
        <v>2.6</v>
      </c>
      <c r="F65" s="19">
        <v>8.1999999999999993</v>
      </c>
      <c r="G65" s="19">
        <v>8.5</v>
      </c>
      <c r="H65" s="104">
        <v>8.5</v>
      </c>
      <c r="I65" s="18">
        <v>8.9</v>
      </c>
      <c r="J65" s="19">
        <v>8.6</v>
      </c>
      <c r="K65" s="19">
        <v>9</v>
      </c>
      <c r="L65" s="267">
        <v>2.8</v>
      </c>
      <c r="M65" s="267">
        <v>9</v>
      </c>
      <c r="N65" s="19">
        <v>8.8000000000000007</v>
      </c>
      <c r="O65" s="474">
        <v>8.8000000000000007</v>
      </c>
      <c r="P65" s="281">
        <v>9</v>
      </c>
      <c r="Q65" s="282">
        <v>8.9</v>
      </c>
      <c r="R65" s="282">
        <v>8.8000000000000007</v>
      </c>
      <c r="S65" s="282">
        <v>2.6</v>
      </c>
      <c r="T65" s="282">
        <v>9.1</v>
      </c>
      <c r="U65" s="282">
        <v>8.9</v>
      </c>
      <c r="V65" s="283">
        <v>8.6999999999999993</v>
      </c>
      <c r="W65" s="264">
        <f t="shared" si="18"/>
        <v>165.1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8.6</v>
      </c>
      <c r="D66" s="19">
        <v>8.6</v>
      </c>
      <c r="E66" s="19">
        <v>2.6</v>
      </c>
      <c r="F66" s="19">
        <v>8.1999999999999993</v>
      </c>
      <c r="G66" s="19">
        <v>8.6</v>
      </c>
      <c r="H66" s="104">
        <v>8.6</v>
      </c>
      <c r="I66" s="18">
        <v>9</v>
      </c>
      <c r="J66" s="19">
        <v>8.6</v>
      </c>
      <c r="K66" s="19">
        <v>9</v>
      </c>
      <c r="L66" s="267">
        <v>2.8</v>
      </c>
      <c r="M66" s="267">
        <v>9</v>
      </c>
      <c r="N66" s="19">
        <v>8.8000000000000007</v>
      </c>
      <c r="O66" s="474">
        <v>8.8000000000000007</v>
      </c>
      <c r="P66" s="281">
        <v>9</v>
      </c>
      <c r="Q66" s="282">
        <v>9</v>
      </c>
      <c r="R66" s="282">
        <v>8.8000000000000007</v>
      </c>
      <c r="S66" s="282">
        <v>2.6</v>
      </c>
      <c r="T66" s="282">
        <v>9.1</v>
      </c>
      <c r="U66" s="282">
        <v>9</v>
      </c>
      <c r="V66" s="283">
        <v>8.6999999999999993</v>
      </c>
      <c r="W66" s="265">
        <f t="shared" si="18"/>
        <v>165.79999999999998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58.3</v>
      </c>
      <c r="C67" s="120">
        <f>SUM(C60:C66)</f>
        <v>59.4</v>
      </c>
      <c r="D67" s="120">
        <f t="shared" ref="D67:V67" si="19">SUM(D60:D66)</f>
        <v>59.4</v>
      </c>
      <c r="E67" s="120">
        <f t="shared" si="19"/>
        <v>17.899999999999999</v>
      </c>
      <c r="F67" s="120">
        <f t="shared" si="19"/>
        <v>57.100000000000009</v>
      </c>
      <c r="G67" s="120">
        <f t="shared" si="19"/>
        <v>59.4</v>
      </c>
      <c r="H67" s="268">
        <f t="shared" si="19"/>
        <v>59.4</v>
      </c>
      <c r="I67" s="122">
        <f t="shared" si="19"/>
        <v>61.999999999999993</v>
      </c>
      <c r="J67" s="120">
        <f t="shared" si="19"/>
        <v>60.800000000000004</v>
      </c>
      <c r="K67" s="120">
        <f t="shared" si="19"/>
        <v>62.6</v>
      </c>
      <c r="L67" s="120">
        <f t="shared" si="19"/>
        <v>19.100000000000001</v>
      </c>
      <c r="M67" s="120">
        <f t="shared" si="19"/>
        <v>62.6</v>
      </c>
      <c r="N67" s="120">
        <f t="shared" si="19"/>
        <v>61.3</v>
      </c>
      <c r="O67" s="121">
        <f t="shared" si="19"/>
        <v>61.099999999999994</v>
      </c>
      <c r="P67" s="122">
        <f t="shared" si="19"/>
        <v>62.6</v>
      </c>
      <c r="Q67" s="120">
        <f t="shared" si="19"/>
        <v>62.199999999999996</v>
      </c>
      <c r="R67" s="120">
        <f t="shared" si="19"/>
        <v>61.3</v>
      </c>
      <c r="S67" s="120">
        <f t="shared" si="19"/>
        <v>18</v>
      </c>
      <c r="T67" s="120">
        <f t="shared" si="19"/>
        <v>63.400000000000006</v>
      </c>
      <c r="U67" s="120">
        <f t="shared" si="19"/>
        <v>62.199999999999996</v>
      </c>
      <c r="V67" s="121">
        <f t="shared" si="19"/>
        <v>61.400000000000006</v>
      </c>
      <c r="W67" s="263">
        <f>SUM(W60:W66)</f>
        <v>1151.5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151.5</v>
      </c>
      <c r="C68" s="24">
        <v>151.5</v>
      </c>
      <c r="D68" s="24">
        <v>151.5</v>
      </c>
      <c r="E68" s="24">
        <v>150.5</v>
      </c>
      <c r="F68" s="24">
        <v>151</v>
      </c>
      <c r="G68" s="24">
        <v>151.5</v>
      </c>
      <c r="H68" s="155">
        <v>151.5</v>
      </c>
      <c r="I68" s="23">
        <v>150</v>
      </c>
      <c r="J68" s="24">
        <v>151.5</v>
      </c>
      <c r="K68" s="24">
        <v>151.5</v>
      </c>
      <c r="L68" s="24">
        <v>151.5</v>
      </c>
      <c r="M68" s="24">
        <v>151.5</v>
      </c>
      <c r="N68" s="24">
        <v>151</v>
      </c>
      <c r="O68" s="25">
        <v>150.5</v>
      </c>
      <c r="P68" s="23">
        <v>151.5</v>
      </c>
      <c r="Q68" s="24">
        <v>150.5</v>
      </c>
      <c r="R68" s="24">
        <v>151</v>
      </c>
      <c r="S68" s="24">
        <v>151</v>
      </c>
      <c r="T68" s="24">
        <v>151</v>
      </c>
      <c r="U68" s="24">
        <v>150.5</v>
      </c>
      <c r="V68" s="25">
        <v>150</v>
      </c>
      <c r="W68" s="99">
        <f>((W67/W69)/7)*1000</f>
        <v>151.19485294117646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57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1088</v>
      </c>
    </row>
    <row r="70" spans="1:26" ht="33.75" customHeight="1" x14ac:dyDescent="0.25">
      <c r="A70" s="150" t="s">
        <v>13</v>
      </c>
      <c r="B70" s="358">
        <f>((((B68*7)*B69)/1000)-(B60+B61))/5</f>
        <v>8.3855000000000004</v>
      </c>
      <c r="C70" s="31">
        <f t="shared" ref="C70:V70" si="20">((((C68*7)*C69)/1000)-(C60+C61))/5</f>
        <v>8.5175999999999981</v>
      </c>
      <c r="D70" s="31">
        <f t="shared" si="20"/>
        <v>8.5175999999999981</v>
      </c>
      <c r="E70" s="31">
        <f t="shared" si="20"/>
        <v>2.5819000000000001</v>
      </c>
      <c r="F70" s="31">
        <f t="shared" si="20"/>
        <v>8.1755999999999993</v>
      </c>
      <c r="G70" s="31">
        <f t="shared" si="20"/>
        <v>8.5175999999999981</v>
      </c>
      <c r="H70" s="464">
        <f t="shared" si="20"/>
        <v>8.5175999999999981</v>
      </c>
      <c r="I70" s="358">
        <f t="shared" si="20"/>
        <v>8.91</v>
      </c>
      <c r="J70" s="31">
        <f t="shared" si="20"/>
        <v>8.6097000000000001</v>
      </c>
      <c r="K70" s="31">
        <f t="shared" si="20"/>
        <v>8.9939</v>
      </c>
      <c r="L70" s="31">
        <f t="shared" si="20"/>
        <v>2.7377999999999996</v>
      </c>
      <c r="M70" s="31">
        <f t="shared" si="20"/>
        <v>8.9939</v>
      </c>
      <c r="N70" s="31">
        <f t="shared" si="20"/>
        <v>8.7812000000000001</v>
      </c>
      <c r="O70" s="322">
        <f t="shared" si="20"/>
        <v>8.7806000000000015</v>
      </c>
      <c r="P70" s="30">
        <f t="shared" si="20"/>
        <v>8.9939</v>
      </c>
      <c r="Q70" s="31">
        <f t="shared" si="20"/>
        <v>8.9113000000000007</v>
      </c>
      <c r="R70" s="31">
        <f t="shared" si="20"/>
        <v>8.7812000000000001</v>
      </c>
      <c r="S70" s="31">
        <f t="shared" si="20"/>
        <v>2.5938000000000003</v>
      </c>
      <c r="T70" s="31">
        <f t="shared" si="20"/>
        <v>9.0839999999999996</v>
      </c>
      <c r="U70" s="31">
        <f t="shared" si="20"/>
        <v>8.9113000000000007</v>
      </c>
      <c r="V70" s="32">
        <f t="shared" si="20"/>
        <v>8.66</v>
      </c>
      <c r="W70" s="362">
        <f>((W67*1000)/7)/W69</f>
        <v>151.19485294117646</v>
      </c>
    </row>
    <row r="71" spans="1:26" ht="33.75" customHeight="1" x14ac:dyDescent="0.25">
      <c r="A71" s="151" t="s">
        <v>14</v>
      </c>
      <c r="B71" s="281">
        <f>((B69*B68)*7)/1000</f>
        <v>58.327500000000001</v>
      </c>
      <c r="C71" s="282">
        <f>((C69*C68)*7)/1000</f>
        <v>59.387999999999998</v>
      </c>
      <c r="D71" s="282">
        <f t="shared" ref="D71:V71" si="21">((D69*D68)*7)/1000</f>
        <v>59.387999999999998</v>
      </c>
      <c r="E71" s="282">
        <f t="shared" si="21"/>
        <v>17.909500000000001</v>
      </c>
      <c r="F71" s="282">
        <f t="shared" si="21"/>
        <v>57.078000000000003</v>
      </c>
      <c r="G71" s="282">
        <f t="shared" si="21"/>
        <v>59.387999999999998</v>
      </c>
      <c r="H71" s="283">
        <f t="shared" si="21"/>
        <v>59.387999999999998</v>
      </c>
      <c r="I71" s="281">
        <f t="shared" si="21"/>
        <v>61.95</v>
      </c>
      <c r="J71" s="282">
        <f t="shared" si="21"/>
        <v>60.448500000000003</v>
      </c>
      <c r="K71" s="282">
        <f t="shared" si="21"/>
        <v>62.569499999999998</v>
      </c>
      <c r="L71" s="282">
        <f t="shared" si="21"/>
        <v>19.088999999999999</v>
      </c>
      <c r="M71" s="282">
        <f t="shared" si="21"/>
        <v>62.569499999999998</v>
      </c>
      <c r="N71" s="282">
        <f t="shared" si="21"/>
        <v>61.305999999999997</v>
      </c>
      <c r="O71" s="284">
        <f t="shared" si="21"/>
        <v>61.103000000000002</v>
      </c>
      <c r="P71" s="281">
        <f t="shared" si="21"/>
        <v>62.569499999999998</v>
      </c>
      <c r="Q71" s="282">
        <f t="shared" si="21"/>
        <v>62.156500000000001</v>
      </c>
      <c r="R71" s="282">
        <f t="shared" si="21"/>
        <v>61.305999999999997</v>
      </c>
      <c r="S71" s="282">
        <f t="shared" si="21"/>
        <v>17.969000000000001</v>
      </c>
      <c r="T71" s="282">
        <f t="shared" si="21"/>
        <v>63.42</v>
      </c>
      <c r="U71" s="282">
        <f t="shared" si="21"/>
        <v>62.156500000000001</v>
      </c>
      <c r="V71" s="284">
        <f t="shared" si="21"/>
        <v>60.9</v>
      </c>
      <c r="W71" s="36"/>
    </row>
    <row r="72" spans="1:26" ht="33.75" customHeight="1" thickBot="1" x14ac:dyDescent="0.3">
      <c r="A72" s="152" t="s">
        <v>15</v>
      </c>
      <c r="B72" s="37">
        <f>+(B67/B69)/7*1000</f>
        <v>151.42857142857144</v>
      </c>
      <c r="C72" s="38">
        <f t="shared" ref="C72:V72" si="22">+(C67/C69)/7*1000</f>
        <v>151.53061224489798</v>
      </c>
      <c r="D72" s="38">
        <f t="shared" si="22"/>
        <v>151.53061224489798</v>
      </c>
      <c r="E72" s="38">
        <f t="shared" si="22"/>
        <v>150.42016806722685</v>
      </c>
      <c r="F72" s="38">
        <f t="shared" si="22"/>
        <v>151.05820105820109</v>
      </c>
      <c r="G72" s="38">
        <f t="shared" si="22"/>
        <v>151.53061224489798</v>
      </c>
      <c r="H72" s="158">
        <f t="shared" si="22"/>
        <v>151.53061224489798</v>
      </c>
      <c r="I72" s="37">
        <f t="shared" si="22"/>
        <v>150.12106537530263</v>
      </c>
      <c r="J72" s="38">
        <f t="shared" si="22"/>
        <v>152.38095238095238</v>
      </c>
      <c r="K72" s="38">
        <f t="shared" si="22"/>
        <v>151.5738498789346</v>
      </c>
      <c r="L72" s="38">
        <f t="shared" si="22"/>
        <v>151.58730158730157</v>
      </c>
      <c r="M72" s="38">
        <f t="shared" si="22"/>
        <v>151.5738498789346</v>
      </c>
      <c r="N72" s="38">
        <f t="shared" si="22"/>
        <v>150.98522167487684</v>
      </c>
      <c r="O72" s="39">
        <f t="shared" si="22"/>
        <v>150.49261083743843</v>
      </c>
      <c r="P72" s="37">
        <f t="shared" si="22"/>
        <v>151.5738498789346</v>
      </c>
      <c r="Q72" s="38">
        <f t="shared" si="22"/>
        <v>150.60532687651332</v>
      </c>
      <c r="R72" s="38">
        <f t="shared" si="22"/>
        <v>150.98522167487684</v>
      </c>
      <c r="S72" s="38">
        <f t="shared" si="22"/>
        <v>151.26050420168067</v>
      </c>
      <c r="T72" s="38">
        <f t="shared" si="22"/>
        <v>150.95238095238096</v>
      </c>
      <c r="U72" s="38">
        <f t="shared" si="22"/>
        <v>150.60532687651332</v>
      </c>
      <c r="V72" s="39">
        <f t="shared" si="22"/>
        <v>151.23152709359604</v>
      </c>
      <c r="W72" s="40"/>
    </row>
    <row r="73" spans="1:26" ht="33.75" customHeight="1" x14ac:dyDescent="0.25">
      <c r="A73" s="41"/>
      <c r="B73" s="42">
        <f>B71-B67</f>
        <v>2.7500000000003411E-2</v>
      </c>
      <c r="C73" s="42">
        <f t="shared" ref="C73:V74" si="23">C71-C67</f>
        <v>-1.2000000000000455E-2</v>
      </c>
      <c r="D73" s="42">
        <f t="shared" si="23"/>
        <v>-1.2000000000000455E-2</v>
      </c>
      <c r="E73" s="42">
        <f t="shared" si="23"/>
        <v>9.5000000000027285E-3</v>
      </c>
      <c r="F73" s="42">
        <f t="shared" si="23"/>
        <v>-2.2000000000005571E-2</v>
      </c>
      <c r="G73" s="42">
        <f t="shared" si="23"/>
        <v>-1.2000000000000455E-2</v>
      </c>
      <c r="H73" s="42">
        <f t="shared" si="23"/>
        <v>-1.2000000000000455E-2</v>
      </c>
      <c r="I73" s="42">
        <f t="shared" si="23"/>
        <v>-4.9999999999990052E-2</v>
      </c>
      <c r="J73" s="42">
        <f t="shared" si="23"/>
        <v>-0.35150000000000148</v>
      </c>
      <c r="K73" s="42">
        <f t="shared" si="23"/>
        <v>-3.0500000000003524E-2</v>
      </c>
      <c r="L73" s="42">
        <f t="shared" si="23"/>
        <v>-1.1000000000002785E-2</v>
      </c>
      <c r="M73" s="42">
        <f t="shared" si="23"/>
        <v>-3.0500000000003524E-2</v>
      </c>
      <c r="N73" s="42">
        <f t="shared" si="23"/>
        <v>6.0000000000002274E-3</v>
      </c>
      <c r="O73" s="42">
        <f t="shared" si="23"/>
        <v>3.0000000000072191E-3</v>
      </c>
      <c r="P73" s="42">
        <f t="shared" si="23"/>
        <v>-3.0500000000003524E-2</v>
      </c>
      <c r="Q73" s="42">
        <f t="shared" si="23"/>
        <v>-4.3499999999994543E-2</v>
      </c>
      <c r="R73" s="42">
        <f t="shared" si="23"/>
        <v>6.0000000000002274E-3</v>
      </c>
      <c r="S73" s="42">
        <f t="shared" si="23"/>
        <v>-3.0999999999998806E-2</v>
      </c>
      <c r="T73" s="42">
        <f t="shared" si="23"/>
        <v>1.9999999999996021E-2</v>
      </c>
      <c r="U73" s="42">
        <f t="shared" si="23"/>
        <v>-4.3499999999994543E-2</v>
      </c>
      <c r="V73" s="42">
        <f t="shared" si="23"/>
        <v>-0.50000000000000711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23"/>
        <v>3.0612244897980645E-2</v>
      </c>
      <c r="D74" s="42">
        <f t="shared" si="23"/>
        <v>3.0612244897980645E-2</v>
      </c>
      <c r="E74" s="42">
        <f t="shared" si="23"/>
        <v>-7.9831932773146264E-2</v>
      </c>
      <c r="F74" s="42">
        <f t="shared" si="23"/>
        <v>5.8201058201092337E-2</v>
      </c>
      <c r="G74" s="42">
        <f t="shared" si="23"/>
        <v>3.0612244897980645E-2</v>
      </c>
      <c r="H74" s="42">
        <f t="shared" si="23"/>
        <v>3.0612244897980645E-2</v>
      </c>
      <c r="I74" s="42">
        <f t="shared" si="23"/>
        <v>0.12106537530263495</v>
      </c>
      <c r="J74" s="42">
        <f t="shared" si="23"/>
        <v>0.8809523809523796</v>
      </c>
      <c r="K74" s="42">
        <f t="shared" si="23"/>
        <v>7.3849878934595381E-2</v>
      </c>
      <c r="L74" s="42">
        <f t="shared" si="23"/>
        <v>8.7301587301567452E-2</v>
      </c>
      <c r="M74" s="42">
        <f t="shared" si="23"/>
        <v>7.3849878934595381E-2</v>
      </c>
      <c r="N74" s="42">
        <f t="shared" si="23"/>
        <v>-1.477832512316013E-2</v>
      </c>
      <c r="O74" s="42">
        <f t="shared" si="23"/>
        <v>-7.389162561565854E-3</v>
      </c>
      <c r="P74" s="42">
        <f t="shared" si="23"/>
        <v>7.3849878934595381E-2</v>
      </c>
      <c r="Q74" s="42">
        <f>Q72-Q68</f>
        <v>0.10532687651331685</v>
      </c>
      <c r="R74" s="42">
        <f t="shared" si="23"/>
        <v>-1.477832512316013E-2</v>
      </c>
      <c r="S74" s="42">
        <f t="shared" si="23"/>
        <v>0.2605042016806749</v>
      </c>
      <c r="T74" s="42">
        <f t="shared" si="23"/>
        <v>-4.7619047619036792E-2</v>
      </c>
      <c r="U74" s="42">
        <f t="shared" si="23"/>
        <v>0.10532687651331685</v>
      </c>
      <c r="V74" s="42">
        <f t="shared" si="23"/>
        <v>1.2315270935960427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O56:P56"/>
    <mergeCell ref="B57:H57"/>
    <mergeCell ref="I57:O57"/>
    <mergeCell ref="P57:V57"/>
    <mergeCell ref="B54:D54"/>
  </mergeCells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43"/>
  <dimension ref="A1:AE244"/>
  <sheetViews>
    <sheetView topLeftCell="A24" zoomScale="30" zoomScaleNormal="30" workbookViewId="0">
      <selection activeCell="B43" sqref="B4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29</v>
      </c>
      <c r="Q11" s="1022"/>
      <c r="R11" s="6"/>
      <c r="S11" s="1" t="s">
        <v>6</v>
      </c>
      <c r="T11" s="95">
        <v>45578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87.8</v>
      </c>
      <c r="C18" s="497">
        <v>86.3</v>
      </c>
      <c r="D18" s="497">
        <v>86.8</v>
      </c>
      <c r="E18" s="383">
        <v>27.8</v>
      </c>
      <c r="F18" s="497">
        <v>88</v>
      </c>
      <c r="G18" s="522">
        <v>87.8</v>
      </c>
      <c r="H18" s="525">
        <v>87.6</v>
      </c>
      <c r="I18" s="526">
        <v>97.4</v>
      </c>
      <c r="J18" s="497">
        <v>93.1</v>
      </c>
      <c r="K18" s="522">
        <v>92.1</v>
      </c>
      <c r="L18" s="383">
        <v>27.5</v>
      </c>
      <c r="M18" s="383">
        <v>94.4</v>
      </c>
      <c r="N18" s="497">
        <v>91</v>
      </c>
      <c r="O18" s="497">
        <v>87.7</v>
      </c>
      <c r="P18" s="521">
        <v>92.8</v>
      </c>
      <c r="Q18" s="497">
        <v>93.4</v>
      </c>
      <c r="R18" s="497">
        <v>93</v>
      </c>
      <c r="S18" s="383">
        <v>29.2</v>
      </c>
      <c r="T18" s="522">
        <v>93.7</v>
      </c>
      <c r="U18" s="497">
        <v>92.6</v>
      </c>
      <c r="V18" s="498">
        <v>86.9</v>
      </c>
      <c r="W18" s="98">
        <f t="shared" ref="W18:W24" si="0">SUM(B18:V18)</f>
        <v>1716.9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27">
        <v>90.1</v>
      </c>
      <c r="C19" s="383">
        <v>90.8</v>
      </c>
      <c r="D19" s="497">
        <v>86.8</v>
      </c>
      <c r="E19" s="497">
        <v>27.8</v>
      </c>
      <c r="F19" s="497">
        <v>88</v>
      </c>
      <c r="G19" s="497">
        <v>87.8</v>
      </c>
      <c r="H19" s="498">
        <v>87.6</v>
      </c>
      <c r="I19" s="126">
        <v>97.4</v>
      </c>
      <c r="J19" s="497">
        <v>93.1</v>
      </c>
      <c r="K19" s="497">
        <v>92.1</v>
      </c>
      <c r="L19" s="497">
        <v>27.5</v>
      </c>
      <c r="M19" s="497">
        <v>94.4</v>
      </c>
      <c r="N19" s="383">
        <v>94</v>
      </c>
      <c r="O19" s="522">
        <v>90.6</v>
      </c>
      <c r="P19" s="133">
        <v>92.8</v>
      </c>
      <c r="Q19" s="383">
        <v>95.9</v>
      </c>
      <c r="R19" s="383">
        <v>95.4</v>
      </c>
      <c r="S19" s="497">
        <v>29.2</v>
      </c>
      <c r="T19" s="497">
        <v>93.7</v>
      </c>
      <c r="U19" s="383">
        <v>95</v>
      </c>
      <c r="V19" s="498">
        <v>86.7</v>
      </c>
      <c r="W19" s="98">
        <f t="shared" si="0"/>
        <v>1736.7000000000003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89.9</v>
      </c>
      <c r="C20" s="497">
        <v>90.6</v>
      </c>
      <c r="D20" s="383">
        <v>89.1</v>
      </c>
      <c r="E20" s="497">
        <v>27.8</v>
      </c>
      <c r="F20" s="497">
        <v>88</v>
      </c>
      <c r="G20" s="383">
        <v>90.2</v>
      </c>
      <c r="H20" s="528">
        <v>90.2</v>
      </c>
      <c r="I20" s="529">
        <v>100.4</v>
      </c>
      <c r="J20" s="530">
        <v>95.8</v>
      </c>
      <c r="K20" s="497">
        <v>92.1</v>
      </c>
      <c r="L20" s="497">
        <v>27.5</v>
      </c>
      <c r="M20" s="530">
        <v>97.4</v>
      </c>
      <c r="N20" s="497">
        <v>94</v>
      </c>
      <c r="O20" s="497">
        <v>90.6</v>
      </c>
      <c r="P20" s="527">
        <v>95.4</v>
      </c>
      <c r="Q20" s="497">
        <v>95.7</v>
      </c>
      <c r="R20" s="497">
        <v>95.4</v>
      </c>
      <c r="S20" s="497">
        <v>29.2</v>
      </c>
      <c r="T20" s="383">
        <v>95.8</v>
      </c>
      <c r="U20" s="497">
        <v>95</v>
      </c>
      <c r="V20" s="531">
        <v>89</v>
      </c>
      <c r="W20" s="98">
        <f t="shared" si="0"/>
        <v>1759.1000000000001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89.9</v>
      </c>
      <c r="C21" s="497">
        <v>90.3</v>
      </c>
      <c r="D21" s="497">
        <v>89.1</v>
      </c>
      <c r="E21" s="530">
        <v>28.7</v>
      </c>
      <c r="F21" s="383">
        <v>90.6</v>
      </c>
      <c r="G21" s="497">
        <v>90.2</v>
      </c>
      <c r="H21" s="498">
        <v>90.1</v>
      </c>
      <c r="I21" s="126">
        <v>100.4</v>
      </c>
      <c r="J21" s="497">
        <v>95.8</v>
      </c>
      <c r="K21" s="383">
        <v>94.8</v>
      </c>
      <c r="L21" s="530">
        <v>28.5</v>
      </c>
      <c r="M21" s="497">
        <v>97.4</v>
      </c>
      <c r="N21" s="530">
        <v>97.2</v>
      </c>
      <c r="O21" s="497">
        <v>90.6</v>
      </c>
      <c r="P21" s="133">
        <v>95.4</v>
      </c>
      <c r="Q21" s="497">
        <v>95.7</v>
      </c>
      <c r="R21" s="497">
        <v>95.3</v>
      </c>
      <c r="S21" s="530">
        <v>30.1</v>
      </c>
      <c r="T21" s="497">
        <v>95.8</v>
      </c>
      <c r="U21" s="497">
        <v>94.9</v>
      </c>
      <c r="V21" s="498">
        <v>89</v>
      </c>
      <c r="W21" s="98">
        <f t="shared" si="0"/>
        <v>1769.7999999999997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33">
        <v>92.6</v>
      </c>
      <c r="C22" s="530">
        <v>93</v>
      </c>
      <c r="D22" s="530">
        <v>91.6</v>
      </c>
      <c r="E22" s="497">
        <v>28.7</v>
      </c>
      <c r="F22" s="497">
        <v>90.6</v>
      </c>
      <c r="G22" s="530">
        <v>92.9</v>
      </c>
      <c r="H22" s="532">
        <v>92.8</v>
      </c>
      <c r="I22" s="126">
        <v>100.4</v>
      </c>
      <c r="J22" s="534">
        <v>98.8</v>
      </c>
      <c r="K22" s="497">
        <v>94.8</v>
      </c>
      <c r="L22" s="497">
        <v>28.5</v>
      </c>
      <c r="M22" s="497">
        <v>97.4</v>
      </c>
      <c r="N22" s="497">
        <v>97.1</v>
      </c>
      <c r="O22" s="383">
        <v>93.8</v>
      </c>
      <c r="P22" s="133">
        <v>95.4</v>
      </c>
      <c r="Q22" s="530">
        <v>98.5</v>
      </c>
      <c r="R22" s="530">
        <v>98</v>
      </c>
      <c r="S22" s="497">
        <v>30.1</v>
      </c>
      <c r="T22" s="530">
        <v>98.3</v>
      </c>
      <c r="U22" s="530">
        <v>97.9</v>
      </c>
      <c r="V22" s="525">
        <v>91.6</v>
      </c>
      <c r="W22" s="98">
        <f t="shared" si="0"/>
        <v>1802.7999999999997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92.6</v>
      </c>
      <c r="C23" s="497">
        <v>93</v>
      </c>
      <c r="D23" s="497">
        <v>91.6</v>
      </c>
      <c r="E23" s="497">
        <v>28.7</v>
      </c>
      <c r="F23" s="530">
        <v>93.4</v>
      </c>
      <c r="G23" s="497">
        <v>92.9</v>
      </c>
      <c r="H23" s="498">
        <v>92.8</v>
      </c>
      <c r="I23" s="126">
        <v>100.4</v>
      </c>
      <c r="J23" s="497">
        <v>98.8</v>
      </c>
      <c r="K23" s="497">
        <v>94.8</v>
      </c>
      <c r="L23" s="534">
        <v>29.5</v>
      </c>
      <c r="M23" s="534">
        <v>100.6</v>
      </c>
      <c r="N23" s="497">
        <v>97.1</v>
      </c>
      <c r="O23" s="497">
        <v>93.8</v>
      </c>
      <c r="P23" s="533">
        <v>98.2</v>
      </c>
      <c r="Q23" s="497">
        <v>98.5</v>
      </c>
      <c r="R23" s="497">
        <v>97.8</v>
      </c>
      <c r="S23" s="497">
        <v>30.1</v>
      </c>
      <c r="T23" s="497">
        <v>98.3</v>
      </c>
      <c r="U23" s="497">
        <v>97.9</v>
      </c>
      <c r="V23" s="498">
        <v>91.6</v>
      </c>
      <c r="W23" s="98">
        <f t="shared" si="0"/>
        <v>1812.3999999999996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35">
        <v>95.5</v>
      </c>
      <c r="C24" s="534">
        <v>95.7</v>
      </c>
      <c r="D24" s="497">
        <v>91.6</v>
      </c>
      <c r="E24" s="534">
        <v>29.7</v>
      </c>
      <c r="F24" s="497">
        <v>93.4</v>
      </c>
      <c r="G24" s="534">
        <v>95.8</v>
      </c>
      <c r="H24" s="536">
        <v>95.8</v>
      </c>
      <c r="I24" s="126">
        <v>100.4</v>
      </c>
      <c r="J24" s="497">
        <v>98.6</v>
      </c>
      <c r="K24" s="530">
        <v>97.7</v>
      </c>
      <c r="L24" s="497">
        <v>29.5</v>
      </c>
      <c r="M24" s="497">
        <v>100.6</v>
      </c>
      <c r="N24" s="534">
        <v>100.6</v>
      </c>
      <c r="O24" s="497">
        <v>93.7</v>
      </c>
      <c r="P24" s="133">
        <v>98.2</v>
      </c>
      <c r="Q24" s="497">
        <v>98.5</v>
      </c>
      <c r="R24" s="534">
        <v>100.7</v>
      </c>
      <c r="S24" s="534">
        <v>31</v>
      </c>
      <c r="T24" s="497">
        <v>98.3</v>
      </c>
      <c r="U24" s="497">
        <v>97.9</v>
      </c>
      <c r="V24" s="498">
        <v>91.5</v>
      </c>
      <c r="W24" s="98">
        <f t="shared" si="0"/>
        <v>1834.7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638.4</v>
      </c>
      <c r="C25" s="120">
        <f>SUM(C18:C24)</f>
        <v>639.70000000000005</v>
      </c>
      <c r="D25" s="120">
        <f t="shared" ref="D25:V25" si="1">SUM(D18:D24)</f>
        <v>626.6</v>
      </c>
      <c r="E25" s="120">
        <f t="shared" si="1"/>
        <v>199.2</v>
      </c>
      <c r="F25" s="120">
        <f t="shared" si="1"/>
        <v>632</v>
      </c>
      <c r="G25" s="120">
        <f t="shared" si="1"/>
        <v>637.59999999999991</v>
      </c>
      <c r="H25" s="121">
        <f t="shared" si="1"/>
        <v>636.9</v>
      </c>
      <c r="I25" s="122">
        <f t="shared" si="1"/>
        <v>696.8</v>
      </c>
      <c r="J25" s="120">
        <f t="shared" si="1"/>
        <v>674</v>
      </c>
      <c r="K25" s="120">
        <f t="shared" si="1"/>
        <v>658.4</v>
      </c>
      <c r="L25" s="120">
        <f t="shared" si="1"/>
        <v>198.5</v>
      </c>
      <c r="M25" s="120">
        <f t="shared" si="1"/>
        <v>682.2</v>
      </c>
      <c r="N25" s="120">
        <f t="shared" si="1"/>
        <v>671</v>
      </c>
      <c r="O25" s="121">
        <f t="shared" si="1"/>
        <v>640.80000000000007</v>
      </c>
      <c r="P25" s="122">
        <f t="shared" si="1"/>
        <v>668.2</v>
      </c>
      <c r="Q25" s="120">
        <f t="shared" si="1"/>
        <v>676.2</v>
      </c>
      <c r="R25" s="120">
        <f t="shared" si="1"/>
        <v>675.6</v>
      </c>
      <c r="S25" s="120">
        <f t="shared" si="1"/>
        <v>208.89999999999998</v>
      </c>
      <c r="T25" s="120">
        <f t="shared" si="1"/>
        <v>673.9</v>
      </c>
      <c r="U25" s="120">
        <f t="shared" si="1"/>
        <v>671.19999999999993</v>
      </c>
      <c r="V25" s="121">
        <f t="shared" si="1"/>
        <v>626.30000000000007</v>
      </c>
      <c r="W25" s="361">
        <f>SUM(W18:W24)</f>
        <v>12432.4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159.07</v>
      </c>
      <c r="E26" s="24">
        <v>163.82</v>
      </c>
      <c r="F26" s="24">
        <v>158.6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158.68</v>
      </c>
      <c r="L26" s="488">
        <v>163.82</v>
      </c>
      <c r="M26" s="24">
        <v>163.82</v>
      </c>
      <c r="N26" s="24">
        <v>163.82</v>
      </c>
      <c r="O26" s="25">
        <v>152.09</v>
      </c>
      <c r="P26" s="487">
        <v>158.91999999999999</v>
      </c>
      <c r="Q26" s="488">
        <v>158.07</v>
      </c>
      <c r="R26" s="488">
        <v>163.82</v>
      </c>
      <c r="S26" s="488">
        <v>163.82</v>
      </c>
      <c r="T26" s="24">
        <v>159.07</v>
      </c>
      <c r="U26" s="24">
        <v>158.6</v>
      </c>
      <c r="V26" s="25">
        <v>148.02000000000001</v>
      </c>
      <c r="W26" s="99">
        <f>((W25/W27)/7)*1000</f>
        <v>155.30405236596212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576</v>
      </c>
      <c r="E27" s="27">
        <v>181</v>
      </c>
      <c r="F27" s="27">
        <v>589</v>
      </c>
      <c r="G27" s="27">
        <v>585</v>
      </c>
      <c r="H27" s="28">
        <v>585</v>
      </c>
      <c r="I27" s="26">
        <v>613</v>
      </c>
      <c r="J27" s="27">
        <v>602</v>
      </c>
      <c r="K27" s="27">
        <v>616</v>
      </c>
      <c r="L27" s="27">
        <v>180</v>
      </c>
      <c r="M27" s="27">
        <v>614</v>
      </c>
      <c r="N27" s="27">
        <v>614</v>
      </c>
      <c r="O27" s="28">
        <v>616</v>
      </c>
      <c r="P27" s="26">
        <v>618</v>
      </c>
      <c r="Q27" s="27">
        <v>623</v>
      </c>
      <c r="R27" s="27">
        <v>615</v>
      </c>
      <c r="S27" s="27">
        <v>189</v>
      </c>
      <c r="T27" s="27">
        <v>618</v>
      </c>
      <c r="U27" s="27">
        <v>617</v>
      </c>
      <c r="V27" s="28">
        <v>618</v>
      </c>
      <c r="W27" s="29">
        <f>SUM(B27:V27)</f>
        <v>11436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91.624319999999997</v>
      </c>
      <c r="E28" s="31">
        <f t="shared" si="2"/>
        <v>29.651420000000002</v>
      </c>
      <c r="F28" s="31">
        <f t="shared" si="2"/>
        <v>93.415400000000005</v>
      </c>
      <c r="G28" s="31">
        <f t="shared" si="2"/>
        <v>95.834699999999998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97.746880000000004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93.687440000000009</v>
      </c>
      <c r="P28" s="30">
        <f t="shared" si="2"/>
        <v>98.212559999999982</v>
      </c>
      <c r="Q28" s="31">
        <f t="shared" si="2"/>
        <v>98.477610000000013</v>
      </c>
      <c r="R28" s="31">
        <f t="shared" si="2"/>
        <v>100.74929999999999</v>
      </c>
      <c r="S28" s="31">
        <f t="shared" si="2"/>
        <v>30.961980000000004</v>
      </c>
      <c r="T28" s="31">
        <f t="shared" si="2"/>
        <v>98.30525999999999</v>
      </c>
      <c r="U28" s="31">
        <f t="shared" si="2"/>
        <v>97.856200000000015</v>
      </c>
      <c r="V28" s="32">
        <f t="shared" si="2"/>
        <v>91.47636</v>
      </c>
      <c r="W28" s="362">
        <f>((W25*1000)/7)/W27</f>
        <v>155.30405236596212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641.37023999999997</v>
      </c>
      <c r="E29" s="282">
        <f t="shared" si="3"/>
        <v>207.55994000000001</v>
      </c>
      <c r="F29" s="282">
        <f t="shared" si="3"/>
        <v>653.90779999999995</v>
      </c>
      <c r="G29" s="282">
        <f t="shared" si="3"/>
        <v>670.84289999999999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684.22816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655.81208000000004</v>
      </c>
      <c r="P29" s="281">
        <f t="shared" si="3"/>
        <v>687.48791999999992</v>
      </c>
      <c r="Q29" s="282">
        <f t="shared" si="3"/>
        <v>689.34327000000008</v>
      </c>
      <c r="R29" s="282">
        <f t="shared" si="3"/>
        <v>705.24509999999998</v>
      </c>
      <c r="S29" s="282">
        <f t="shared" si="3"/>
        <v>216.73385999999999</v>
      </c>
      <c r="T29" s="282">
        <f t="shared" si="3"/>
        <v>688.13681999999994</v>
      </c>
      <c r="U29" s="282">
        <f t="shared" si="3"/>
        <v>684.99340000000007</v>
      </c>
      <c r="V29" s="284">
        <f t="shared" si="3"/>
        <v>640.33452</v>
      </c>
      <c r="W29" s="36"/>
    </row>
    <row r="30" spans="1:31" ht="33.75" customHeight="1" thickBot="1" x14ac:dyDescent="0.3">
      <c r="A30" s="152" t="s">
        <v>15</v>
      </c>
      <c r="B30" s="37">
        <f>+(B25/B27)/7*1000</f>
        <v>156.43224699828471</v>
      </c>
      <c r="C30" s="38">
        <f t="shared" ref="C30:V30" si="4">+(C25/C27)/7*1000</f>
        <v>156.48238747553816</v>
      </c>
      <c r="D30" s="38">
        <f t="shared" si="4"/>
        <v>155.40674603174602</v>
      </c>
      <c r="E30" s="38">
        <f t="shared" si="4"/>
        <v>157.22178374112076</v>
      </c>
      <c r="F30" s="38">
        <f t="shared" si="4"/>
        <v>153.28644191122967</v>
      </c>
      <c r="G30" s="38">
        <f t="shared" si="4"/>
        <v>155.70207570207569</v>
      </c>
      <c r="H30" s="39">
        <f t="shared" si="4"/>
        <v>155.5311355311355</v>
      </c>
      <c r="I30" s="37">
        <f t="shared" si="4"/>
        <v>162.3863901188534</v>
      </c>
      <c r="J30" s="38">
        <f t="shared" si="4"/>
        <v>159.94304698623634</v>
      </c>
      <c r="K30" s="38">
        <f t="shared" si="4"/>
        <v>152.69016697588125</v>
      </c>
      <c r="L30" s="38">
        <f t="shared" si="4"/>
        <v>157.53968253968256</v>
      </c>
      <c r="M30" s="38">
        <f t="shared" si="4"/>
        <v>158.7249883666822</v>
      </c>
      <c r="N30" s="38">
        <f t="shared" si="4"/>
        <v>156.11912517449977</v>
      </c>
      <c r="O30" s="39">
        <f t="shared" si="4"/>
        <v>148.60853432282005</v>
      </c>
      <c r="P30" s="37">
        <f t="shared" si="4"/>
        <v>154.46139620896901</v>
      </c>
      <c r="Q30" s="38">
        <f t="shared" si="4"/>
        <v>155.05617977528092</v>
      </c>
      <c r="R30" s="38">
        <f t="shared" si="4"/>
        <v>156.93379790940767</v>
      </c>
      <c r="S30" s="38">
        <f t="shared" si="4"/>
        <v>157.89871504157219</v>
      </c>
      <c r="T30" s="38">
        <f t="shared" si="4"/>
        <v>155.77901063337956</v>
      </c>
      <c r="U30" s="38">
        <f t="shared" si="4"/>
        <v>155.40634406112525</v>
      </c>
      <c r="V30" s="39">
        <f t="shared" si="4"/>
        <v>144.77577438742489</v>
      </c>
      <c r="W30" s="40"/>
    </row>
    <row r="31" spans="1:31" ht="33.75" customHeight="1" x14ac:dyDescent="0.25">
      <c r="A31" s="41"/>
      <c r="B31" s="42">
        <f>B29-B25</f>
        <v>30.149419999999964</v>
      </c>
      <c r="C31" s="42">
        <f t="shared" ref="C31:V32" si="5">C29-C25</f>
        <v>29.996159999999918</v>
      </c>
      <c r="D31" s="42">
        <f t="shared" si="5"/>
        <v>14.770239999999944</v>
      </c>
      <c r="E31" s="42">
        <f t="shared" si="5"/>
        <v>8.359940000000023</v>
      </c>
      <c r="F31" s="42">
        <f t="shared" si="5"/>
        <v>21.907799999999952</v>
      </c>
      <c r="G31" s="42">
        <f t="shared" si="5"/>
        <v>33.242900000000077</v>
      </c>
      <c r="H31" s="42">
        <f t="shared" si="5"/>
        <v>33.942900000000009</v>
      </c>
      <c r="I31" s="42">
        <f t="shared" si="5"/>
        <v>6.1516199999999799</v>
      </c>
      <c r="J31" s="42">
        <f t="shared" si="5"/>
        <v>16.337480000000028</v>
      </c>
      <c r="K31" s="42">
        <f t="shared" si="5"/>
        <v>25.828160000000025</v>
      </c>
      <c r="L31" s="42">
        <f t="shared" si="5"/>
        <v>7.9131999999999891</v>
      </c>
      <c r="M31" s="42">
        <f t="shared" si="5"/>
        <v>21.898359999999911</v>
      </c>
      <c r="N31" s="42">
        <f t="shared" si="5"/>
        <v>33.098359999999957</v>
      </c>
      <c r="O31" s="42">
        <f t="shared" si="5"/>
        <v>15.012079999999969</v>
      </c>
      <c r="P31" s="42">
        <f t="shared" si="5"/>
        <v>19.287919999999872</v>
      </c>
      <c r="Q31" s="42">
        <f t="shared" si="5"/>
        <v>13.14327000000003</v>
      </c>
      <c r="R31" s="42">
        <f t="shared" si="5"/>
        <v>29.645099999999957</v>
      </c>
      <c r="S31" s="42">
        <f t="shared" si="5"/>
        <v>7.8338600000000156</v>
      </c>
      <c r="T31" s="42">
        <f t="shared" si="5"/>
        <v>14.236819999999966</v>
      </c>
      <c r="U31" s="42">
        <f t="shared" si="5"/>
        <v>13.793400000000133</v>
      </c>
      <c r="V31" s="42">
        <f t="shared" si="5"/>
        <v>14.034519999999929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-7.3877530017152822</v>
      </c>
      <c r="C32" s="42">
        <f t="shared" si="5"/>
        <v>-7.3376125244618322</v>
      </c>
      <c r="D32" s="42">
        <f t="shared" si="5"/>
        <v>-3.6632539682539687</v>
      </c>
      <c r="E32" s="42">
        <f t="shared" si="5"/>
        <v>-6.5982162588792335</v>
      </c>
      <c r="F32" s="42">
        <f t="shared" si="5"/>
        <v>-5.3135580887703213</v>
      </c>
      <c r="G32" s="42">
        <f t="shared" si="5"/>
        <v>-8.1179242979243043</v>
      </c>
      <c r="H32" s="42">
        <f t="shared" si="5"/>
        <v>-8.2888644688644888</v>
      </c>
      <c r="I32" s="42">
        <f t="shared" si="5"/>
        <v>-1.4336098811465945</v>
      </c>
      <c r="J32" s="42">
        <f t="shared" si="5"/>
        <v>-3.8769530137636536</v>
      </c>
      <c r="K32" s="42">
        <f t="shared" si="5"/>
        <v>-5.9898330241187523</v>
      </c>
      <c r="L32" s="42">
        <f t="shared" si="5"/>
        <v>-6.2803174603174341</v>
      </c>
      <c r="M32" s="42">
        <f t="shared" si="5"/>
        <v>-5.0950116333177959</v>
      </c>
      <c r="N32" s="42">
        <f t="shared" si="5"/>
        <v>-7.7008748255002217</v>
      </c>
      <c r="O32" s="42">
        <f t="shared" si="5"/>
        <v>-3.4814656771799548</v>
      </c>
      <c r="P32" s="42">
        <f t="shared" si="5"/>
        <v>-4.4586037910309813</v>
      </c>
      <c r="Q32" s="42">
        <f>Q30-Q26</f>
        <v>-3.0138202247190691</v>
      </c>
      <c r="R32" s="42">
        <f t="shared" si="5"/>
        <v>-6.8862020905923202</v>
      </c>
      <c r="S32" s="42">
        <f t="shared" si="5"/>
        <v>-5.9212849584278047</v>
      </c>
      <c r="T32" s="42">
        <f t="shared" si="5"/>
        <v>-3.2909893666204368</v>
      </c>
      <c r="U32" s="42">
        <f t="shared" si="5"/>
        <v>-3.1936559388747412</v>
      </c>
      <c r="V32" s="42">
        <f t="shared" si="5"/>
        <v>-3.2442256125751214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89.1</v>
      </c>
      <c r="C39" s="506">
        <v>88.2</v>
      </c>
      <c r="D39" s="497">
        <v>26.2</v>
      </c>
      <c r="E39" s="497">
        <v>86</v>
      </c>
      <c r="F39" s="497">
        <v>87.9</v>
      </c>
      <c r="G39" s="510">
        <v>88.1</v>
      </c>
      <c r="H39" s="326">
        <f t="shared" ref="H39:H46" si="6">SUM(B39:G39)</f>
        <v>465.5</v>
      </c>
      <c r="I39" s="49"/>
      <c r="J39" s="42"/>
      <c r="K39" s="42"/>
      <c r="L39" s="42"/>
      <c r="M39" s="2"/>
      <c r="N39" s="146" t="s">
        <v>51</v>
      </c>
      <c r="O39" s="18">
        <v>7.4</v>
      </c>
      <c r="P39" s="19">
        <v>7.9</v>
      </c>
      <c r="Q39" s="19">
        <v>1.8</v>
      </c>
      <c r="R39" s="19">
        <v>7.5</v>
      </c>
      <c r="S39" s="19">
        <v>7.7</v>
      </c>
      <c r="T39" s="19">
        <v>8.1</v>
      </c>
      <c r="U39" s="326">
        <f t="shared" ref="U39:U46" si="7">SUM(O39:T39)</f>
        <v>40.400000000000006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88.4</v>
      </c>
      <c r="C40" s="497">
        <v>88.2</v>
      </c>
      <c r="D40" s="497">
        <v>26</v>
      </c>
      <c r="E40" s="506">
        <v>87.5</v>
      </c>
      <c r="F40" s="497">
        <v>87.7</v>
      </c>
      <c r="G40" s="498">
        <v>87.8</v>
      </c>
      <c r="H40" s="264">
        <f t="shared" si="6"/>
        <v>465.6</v>
      </c>
      <c r="I40" s="309"/>
      <c r="J40" s="42"/>
      <c r="K40" s="42"/>
      <c r="L40" s="42"/>
      <c r="M40" s="2"/>
      <c r="N40" s="146" t="s">
        <v>24</v>
      </c>
      <c r="O40" s="18">
        <v>7.4</v>
      </c>
      <c r="P40" s="19">
        <v>7.9</v>
      </c>
      <c r="Q40" s="19">
        <v>1.5</v>
      </c>
      <c r="R40" s="19">
        <v>7.3</v>
      </c>
      <c r="S40" s="19">
        <v>7.7</v>
      </c>
      <c r="T40" s="19">
        <v>8.1</v>
      </c>
      <c r="U40" s="264">
        <f t="shared" si="7"/>
        <v>39.9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88.4</v>
      </c>
      <c r="C41" s="497">
        <v>88.3</v>
      </c>
      <c r="D41" s="497">
        <v>26</v>
      </c>
      <c r="E41" s="497">
        <v>87.5</v>
      </c>
      <c r="F41" s="497">
        <v>87.7</v>
      </c>
      <c r="G41" s="498">
        <v>87.7</v>
      </c>
      <c r="H41" s="264">
        <f t="shared" si="6"/>
        <v>465.59999999999997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8</v>
      </c>
      <c r="Q41" s="19">
        <v>1.6</v>
      </c>
      <c r="R41" s="19">
        <v>7.4</v>
      </c>
      <c r="S41" s="19">
        <v>7.7</v>
      </c>
      <c r="T41" s="19">
        <v>8.1999999999999993</v>
      </c>
      <c r="U41" s="264">
        <f t="shared" si="7"/>
        <v>40.400000000000006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88.4</v>
      </c>
      <c r="C42" s="530">
        <v>89.8</v>
      </c>
      <c r="D42" s="497">
        <v>25.9</v>
      </c>
      <c r="E42" s="497">
        <v>87.4</v>
      </c>
      <c r="F42" s="530">
        <v>89.6</v>
      </c>
      <c r="G42" s="532">
        <v>89.6</v>
      </c>
      <c r="H42" s="264">
        <f t="shared" si="6"/>
        <v>470.70000000000005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8</v>
      </c>
      <c r="Q42" s="19">
        <v>1.6</v>
      </c>
      <c r="R42" s="19">
        <v>7.4</v>
      </c>
      <c r="S42" s="19">
        <v>7.7</v>
      </c>
      <c r="T42" s="19">
        <v>8.1999999999999993</v>
      </c>
      <c r="U42" s="264">
        <f t="shared" si="7"/>
        <v>40.400000000000006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533">
        <v>89.4</v>
      </c>
      <c r="C43" s="497">
        <v>89.8</v>
      </c>
      <c r="D43" s="530">
        <v>26.3</v>
      </c>
      <c r="E43" s="530">
        <v>89.1</v>
      </c>
      <c r="F43" s="497">
        <v>89.4</v>
      </c>
      <c r="G43" s="498">
        <v>89.6</v>
      </c>
      <c r="H43" s="264">
        <f t="shared" si="6"/>
        <v>473.6</v>
      </c>
      <c r="I43" s="49"/>
      <c r="J43" s="222"/>
      <c r="K43" s="222"/>
      <c r="L43" s="222"/>
      <c r="M43" s="2"/>
      <c r="N43" s="146" t="s">
        <v>21</v>
      </c>
      <c r="O43" s="18">
        <v>7.5</v>
      </c>
      <c r="P43" s="19">
        <v>8</v>
      </c>
      <c r="Q43" s="19">
        <v>1.6</v>
      </c>
      <c r="R43" s="19">
        <v>7.4</v>
      </c>
      <c r="S43" s="19">
        <v>7.7</v>
      </c>
      <c r="T43" s="19">
        <v>8.1999999999999993</v>
      </c>
      <c r="U43" s="264">
        <f t="shared" si="7"/>
        <v>40.400000000000006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89.4</v>
      </c>
      <c r="C44" s="497">
        <v>89.8</v>
      </c>
      <c r="D44" s="497">
        <v>26.3</v>
      </c>
      <c r="E44" s="497">
        <v>89.1</v>
      </c>
      <c r="F44" s="509">
        <v>91.4</v>
      </c>
      <c r="G44" s="498">
        <v>89.6</v>
      </c>
      <c r="H44" s="264">
        <f t="shared" si="6"/>
        <v>475.6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509">
        <v>91.3</v>
      </c>
      <c r="D45" s="497">
        <v>26.3</v>
      </c>
      <c r="E45" s="509">
        <v>91</v>
      </c>
      <c r="F45" s="497">
        <v>91.1</v>
      </c>
      <c r="G45" s="514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622.19999999999993</v>
      </c>
      <c r="C46" s="120">
        <f t="shared" si="8"/>
        <v>625.4</v>
      </c>
      <c r="D46" s="120">
        <f t="shared" si="8"/>
        <v>183.00000000000003</v>
      </c>
      <c r="E46" s="120">
        <f t="shared" si="8"/>
        <v>617.6</v>
      </c>
      <c r="F46" s="120">
        <f t="shared" si="8"/>
        <v>624.79999999999995</v>
      </c>
      <c r="G46" s="121">
        <f t="shared" si="8"/>
        <v>624.1</v>
      </c>
      <c r="H46" s="275">
        <f t="shared" si="6"/>
        <v>3297.1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52.3</v>
      </c>
      <c r="P46" s="120">
        <f t="shared" si="9"/>
        <v>55.8</v>
      </c>
      <c r="Q46" s="120">
        <f t="shared" si="9"/>
        <v>11.1</v>
      </c>
      <c r="R46" s="120">
        <f t="shared" si="9"/>
        <v>51.8</v>
      </c>
      <c r="S46" s="120">
        <f t="shared" si="9"/>
        <v>53.900000000000006</v>
      </c>
      <c r="T46" s="120">
        <f t="shared" si="9"/>
        <v>57.2</v>
      </c>
      <c r="U46" s="326">
        <f t="shared" si="7"/>
        <v>282.10000000000002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145.55000000000001</v>
      </c>
      <c r="C47" s="520">
        <v>147.47</v>
      </c>
      <c r="D47" s="520">
        <v>144.34</v>
      </c>
      <c r="E47" s="24">
        <v>146.04</v>
      </c>
      <c r="F47" s="24">
        <v>146.04</v>
      </c>
      <c r="G47" s="25">
        <v>146.04</v>
      </c>
      <c r="H47" s="128">
        <f>+((H46/H48)/7)*1000</f>
        <v>143.33970959047039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148.16176470588235</v>
      </c>
      <c r="V47" s="50"/>
    </row>
    <row r="48" spans="1:31" ht="33.75" customHeight="1" x14ac:dyDescent="0.25">
      <c r="A48" s="149" t="s">
        <v>12</v>
      </c>
      <c r="B48" s="26">
        <v>612</v>
      </c>
      <c r="C48" s="27">
        <v>619</v>
      </c>
      <c r="D48" s="27">
        <v>180</v>
      </c>
      <c r="E48" s="27">
        <v>623</v>
      </c>
      <c r="F48" s="27">
        <v>624</v>
      </c>
      <c r="G48" s="28">
        <v>628</v>
      </c>
      <c r="H48" s="129">
        <f>SUM(B48:G48)</f>
        <v>3286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10</v>
      </c>
      <c r="R48" s="278">
        <v>50</v>
      </c>
      <c r="S48" s="278">
        <v>52</v>
      </c>
      <c r="T48" s="278">
        <v>55</v>
      </c>
      <c r="U48" s="235">
        <f>SUM(O48:T48)</f>
        <v>272</v>
      </c>
      <c r="V48" s="52"/>
    </row>
    <row r="49" spans="1:30" ht="33.75" customHeight="1" x14ac:dyDescent="0.25">
      <c r="A49" s="150" t="s">
        <v>13</v>
      </c>
      <c r="B49" s="30">
        <f>(B48*B47)/1000</f>
        <v>89.076599999999999</v>
      </c>
      <c r="C49" s="31">
        <f t="shared" ref="C49:G49" si="10">(C48*C47)/1000</f>
        <v>91.283929999999998</v>
      </c>
      <c r="D49" s="31">
        <f t="shared" si="10"/>
        <v>25.981200000000001</v>
      </c>
      <c r="E49" s="31">
        <f t="shared" si="10"/>
        <v>90.982919999999993</v>
      </c>
      <c r="F49" s="31">
        <f t="shared" si="10"/>
        <v>91.128959999999992</v>
      </c>
      <c r="G49" s="32">
        <f t="shared" si="10"/>
        <v>91.713119999999989</v>
      </c>
      <c r="H49" s="130">
        <f>((H46*1000)/H48)/7</f>
        <v>143.33970959047039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7.4644000000000004</v>
      </c>
      <c r="P49" s="31">
        <f t="shared" si="11"/>
        <v>7.9909999999999997</v>
      </c>
      <c r="Q49" s="31">
        <f t="shared" si="11"/>
        <v>1.4119999999999999</v>
      </c>
      <c r="R49" s="31">
        <f t="shared" si="11"/>
        <v>7.4</v>
      </c>
      <c r="S49" s="31">
        <f t="shared" si="11"/>
        <v>7.7308000000000003</v>
      </c>
      <c r="T49" s="31">
        <f t="shared" si="11"/>
        <v>8.2330000000000005</v>
      </c>
      <c r="U49" s="253">
        <f>((U46*1000)/U48)/7</f>
        <v>148.16176470588238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623.53620000000012</v>
      </c>
      <c r="C50" s="282">
        <f t="shared" si="12"/>
        <v>638.98751000000004</v>
      </c>
      <c r="D50" s="282">
        <f t="shared" si="12"/>
        <v>181.86840000000001</v>
      </c>
      <c r="E50" s="282">
        <f t="shared" si="12"/>
        <v>636.88043999999991</v>
      </c>
      <c r="F50" s="282">
        <f t="shared" si="12"/>
        <v>637.90271999999993</v>
      </c>
      <c r="G50" s="284">
        <f t="shared" si="12"/>
        <v>641.99183999999991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52.122</v>
      </c>
      <c r="P50" s="282">
        <f t="shared" si="13"/>
        <v>55.755000000000003</v>
      </c>
      <c r="Q50" s="282">
        <f t="shared" si="13"/>
        <v>10.36</v>
      </c>
      <c r="R50" s="282">
        <f t="shared" si="13"/>
        <v>51.8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145.23809523809521</v>
      </c>
      <c r="C51" s="38">
        <f t="shared" si="14"/>
        <v>144.33417955227324</v>
      </c>
      <c r="D51" s="38">
        <f t="shared" si="14"/>
        <v>145.23809523809524</v>
      </c>
      <c r="E51" s="38">
        <f t="shared" si="14"/>
        <v>141.6188947489108</v>
      </c>
      <c r="F51" s="38">
        <f t="shared" si="14"/>
        <v>143.04029304029302</v>
      </c>
      <c r="G51" s="39">
        <f t="shared" si="14"/>
        <v>141.9699727024568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146.49859943977589</v>
      </c>
      <c r="P51" s="38">
        <f t="shared" si="15"/>
        <v>147.61904761904759</v>
      </c>
      <c r="Q51" s="38">
        <f t="shared" si="15"/>
        <v>158.57142857142856</v>
      </c>
      <c r="R51" s="38">
        <f t="shared" si="15"/>
        <v>148</v>
      </c>
      <c r="S51" s="38">
        <f t="shared" si="15"/>
        <v>148.07692307692307</v>
      </c>
      <c r="T51" s="38">
        <f t="shared" si="15"/>
        <v>148.57142857142858</v>
      </c>
      <c r="U51" s="255"/>
      <c r="V51" s="42"/>
    </row>
    <row r="52" spans="1:30" ht="33.75" customHeight="1" x14ac:dyDescent="0.25">
      <c r="A52" s="41"/>
      <c r="B52" s="42">
        <f>B50-B46</f>
        <v>1.3362000000001899</v>
      </c>
      <c r="C52" s="42">
        <f t="shared" ref="C52:G53" si="16">C50-C46</f>
        <v>13.587510000000066</v>
      </c>
      <c r="D52" s="42">
        <f t="shared" si="16"/>
        <v>-1.1316000000000201</v>
      </c>
      <c r="E52" s="42">
        <f t="shared" si="16"/>
        <v>19.280439999999885</v>
      </c>
      <c r="F52" s="42">
        <f t="shared" si="16"/>
        <v>13.102719999999977</v>
      </c>
      <c r="G52" s="42">
        <f t="shared" si="16"/>
        <v>17.891839999999888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-0.17799999999999727</v>
      </c>
      <c r="P52" s="42">
        <f t="shared" si="17"/>
        <v>-4.49999999999946E-2</v>
      </c>
      <c r="Q52" s="42">
        <f t="shared" si="17"/>
        <v>-0.74000000000000021</v>
      </c>
      <c r="R52" s="42">
        <f t="shared" si="17"/>
        <v>0</v>
      </c>
      <c r="S52" s="42">
        <f t="shared" si="17"/>
        <v>0.15399999999999636</v>
      </c>
      <c r="T52" s="42">
        <f t="shared" si="17"/>
        <v>0.16499999999999915</v>
      </c>
    </row>
    <row r="53" spans="1:30" ht="33.75" customHeight="1" x14ac:dyDescent="0.25">
      <c r="A53" s="41"/>
      <c r="B53" s="42">
        <f>B51-B47</f>
        <v>-0.31190476190479899</v>
      </c>
      <c r="C53" s="42">
        <f t="shared" si="16"/>
        <v>-3.1358204477267577</v>
      </c>
      <c r="D53" s="42">
        <f t="shared" si="16"/>
        <v>0.89809523809523739</v>
      </c>
      <c r="E53" s="42">
        <f t="shared" si="16"/>
        <v>-4.4211052510891875</v>
      </c>
      <c r="F53" s="42">
        <f t="shared" si="16"/>
        <v>-2.9997069597069697</v>
      </c>
      <c r="G53" s="42">
        <f t="shared" si="16"/>
        <v>-4.0700272975431915</v>
      </c>
      <c r="I53" s="2"/>
      <c r="J53" s="2"/>
      <c r="K53" s="45"/>
      <c r="L53" s="41"/>
      <c r="M53" s="42"/>
      <c r="N53" s="42"/>
      <c r="O53" s="42">
        <f t="shared" si="17"/>
        <v>0.49859943977588728</v>
      </c>
      <c r="P53" s="42">
        <f t="shared" si="17"/>
        <v>0.11904761904759198</v>
      </c>
      <c r="Q53" s="42">
        <f t="shared" si="17"/>
        <v>10.571428571428555</v>
      </c>
      <c r="R53" s="42">
        <f t="shared" si="17"/>
        <v>0</v>
      </c>
      <c r="S53" s="42">
        <f t="shared" si="17"/>
        <v>-0.42307692307693401</v>
      </c>
      <c r="T53" s="42">
        <f t="shared" si="17"/>
        <v>-0.42857142857141639</v>
      </c>
      <c r="W53" s="3"/>
    </row>
    <row r="54" spans="1:30" ht="33.75" customHeight="1" x14ac:dyDescent="0.25">
      <c r="A54" s="41"/>
      <c r="B54" s="1050" t="s">
        <v>115</v>
      </c>
      <c r="C54" s="1050"/>
      <c r="D54" s="1050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8"/>
      <c r="P56" s="1018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8.6</v>
      </c>
      <c r="D60" s="19">
        <v>8.6</v>
      </c>
      <c r="E60" s="19">
        <v>2.6</v>
      </c>
      <c r="F60" s="19">
        <v>8.1999999999999993</v>
      </c>
      <c r="G60" s="19">
        <v>8.6</v>
      </c>
      <c r="H60" s="104">
        <v>8.6</v>
      </c>
      <c r="I60" s="18">
        <v>9</v>
      </c>
      <c r="J60" s="19">
        <v>8.6</v>
      </c>
      <c r="K60" s="19">
        <v>9</v>
      </c>
      <c r="L60" s="267">
        <v>2.8</v>
      </c>
      <c r="M60" s="267">
        <v>9</v>
      </c>
      <c r="N60" s="19">
        <v>8.8000000000000007</v>
      </c>
      <c r="O60" s="474">
        <v>8.8000000000000007</v>
      </c>
      <c r="P60" s="281">
        <v>9</v>
      </c>
      <c r="Q60" s="282">
        <v>9</v>
      </c>
      <c r="R60" s="282">
        <v>8.8000000000000007</v>
      </c>
      <c r="S60" s="282">
        <v>2.6</v>
      </c>
      <c r="T60" s="282">
        <v>9.1</v>
      </c>
      <c r="U60" s="282">
        <v>9</v>
      </c>
      <c r="V60" s="283">
        <v>8.6999999999999993</v>
      </c>
      <c r="W60" s="264">
        <f t="shared" ref="W60:W66" si="18">SUM(B60:V60)</f>
        <v>165.79999999999998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8.3000000000000007</v>
      </c>
      <c r="D61" s="19">
        <v>8.6</v>
      </c>
      <c r="E61" s="19">
        <v>2.6</v>
      </c>
      <c r="F61" s="19">
        <v>8.1999999999999993</v>
      </c>
      <c r="G61" s="19">
        <v>8.1999999999999993</v>
      </c>
      <c r="H61" s="104">
        <v>8.6</v>
      </c>
      <c r="I61" s="18">
        <v>8.6</v>
      </c>
      <c r="J61" s="19">
        <v>8.6</v>
      </c>
      <c r="K61" s="19">
        <v>9</v>
      </c>
      <c r="L61" s="267">
        <v>2.8</v>
      </c>
      <c r="M61" s="267">
        <v>9</v>
      </c>
      <c r="N61" s="19">
        <v>8.8000000000000007</v>
      </c>
      <c r="O61" s="474">
        <v>8.8000000000000007</v>
      </c>
      <c r="P61" s="281">
        <v>9</v>
      </c>
      <c r="Q61" s="282">
        <v>9</v>
      </c>
      <c r="R61" s="282">
        <v>8.8000000000000007</v>
      </c>
      <c r="S61" s="282">
        <v>2.6</v>
      </c>
      <c r="T61" s="282">
        <v>9.1</v>
      </c>
      <c r="U61" s="282">
        <v>9</v>
      </c>
      <c r="V61" s="283">
        <v>8.6999999999999993</v>
      </c>
      <c r="W61" s="264">
        <f t="shared" si="18"/>
        <v>164.7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8.6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9</v>
      </c>
      <c r="N62" s="19">
        <v>8.9</v>
      </c>
      <c r="O62" s="474">
        <v>8.8000000000000007</v>
      </c>
      <c r="P62" s="281">
        <v>9.1</v>
      </c>
      <c r="Q62" s="282">
        <v>9</v>
      </c>
      <c r="R62" s="282">
        <v>8.9</v>
      </c>
      <c r="S62" s="282">
        <v>2.6</v>
      </c>
      <c r="T62" s="282">
        <v>9.1999999999999993</v>
      </c>
      <c r="U62" s="282">
        <v>9</v>
      </c>
      <c r="V62" s="283">
        <v>8.8000000000000007</v>
      </c>
      <c r="W62" s="264">
        <f t="shared" si="18"/>
        <v>166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8.4</v>
      </c>
      <c r="D63" s="19">
        <v>8.6</v>
      </c>
      <c r="E63" s="19">
        <v>2.6</v>
      </c>
      <c r="F63" s="19">
        <v>8.1999999999999993</v>
      </c>
      <c r="G63" s="19">
        <v>8.5</v>
      </c>
      <c r="H63" s="104">
        <v>8.6</v>
      </c>
      <c r="I63" s="18">
        <v>8.8000000000000007</v>
      </c>
      <c r="J63" s="19">
        <v>8.8000000000000007</v>
      </c>
      <c r="K63" s="19">
        <v>9</v>
      </c>
      <c r="L63" s="267">
        <v>2.8</v>
      </c>
      <c r="M63" s="267">
        <v>9</v>
      </c>
      <c r="N63" s="19">
        <v>8.9</v>
      </c>
      <c r="O63" s="474">
        <v>8.8000000000000007</v>
      </c>
      <c r="P63" s="281">
        <v>9.1</v>
      </c>
      <c r="Q63" s="282">
        <v>9</v>
      </c>
      <c r="R63" s="282">
        <v>8.9</v>
      </c>
      <c r="S63" s="282">
        <v>2.6</v>
      </c>
      <c r="T63" s="282">
        <v>9.1999999999999993</v>
      </c>
      <c r="U63" s="282">
        <v>9</v>
      </c>
      <c r="V63" s="283">
        <v>8.8000000000000007</v>
      </c>
      <c r="W63" s="264">
        <f t="shared" si="18"/>
        <v>166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8.4</v>
      </c>
      <c r="D64" s="19">
        <v>8.6</v>
      </c>
      <c r="E64" s="19">
        <v>2.6</v>
      </c>
      <c r="F64" s="19">
        <v>8.1999999999999993</v>
      </c>
      <c r="G64" s="19">
        <v>8.5</v>
      </c>
      <c r="H64" s="104">
        <v>8.6</v>
      </c>
      <c r="I64" s="18">
        <v>8.8000000000000007</v>
      </c>
      <c r="J64" s="19">
        <v>8.8000000000000007</v>
      </c>
      <c r="K64" s="19">
        <v>9</v>
      </c>
      <c r="L64" s="267">
        <v>2.8</v>
      </c>
      <c r="M64" s="267">
        <v>9</v>
      </c>
      <c r="N64" s="19">
        <v>8.6</v>
      </c>
      <c r="O64" s="474">
        <v>8.8000000000000007</v>
      </c>
      <c r="P64" s="281">
        <v>9.1</v>
      </c>
      <c r="Q64" s="282">
        <v>9</v>
      </c>
      <c r="R64" s="282">
        <v>8.6999999999999993</v>
      </c>
      <c r="S64" s="282">
        <v>2.6</v>
      </c>
      <c r="T64" s="282">
        <v>9.1999999999999993</v>
      </c>
      <c r="U64" s="282">
        <v>9</v>
      </c>
      <c r="V64" s="283">
        <v>8.8000000000000007</v>
      </c>
      <c r="W64" s="264">
        <f t="shared" si="18"/>
        <v>165.49999999999997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8.4</v>
      </c>
      <c r="D65" s="19">
        <v>8.6</v>
      </c>
      <c r="E65" s="19">
        <v>2.6</v>
      </c>
      <c r="F65" s="19">
        <v>8.1999999999999993</v>
      </c>
      <c r="G65" s="19">
        <v>8.5</v>
      </c>
      <c r="H65" s="104">
        <v>8.6</v>
      </c>
      <c r="I65" s="18">
        <v>8.8000000000000007</v>
      </c>
      <c r="J65" s="19">
        <v>8.8000000000000007</v>
      </c>
      <c r="K65" s="19">
        <v>9</v>
      </c>
      <c r="L65" s="267">
        <v>2.8</v>
      </c>
      <c r="M65" s="267">
        <v>8.8000000000000007</v>
      </c>
      <c r="N65" s="19">
        <v>8.6</v>
      </c>
      <c r="O65" s="474">
        <v>8.8000000000000007</v>
      </c>
      <c r="P65" s="281">
        <v>9.1</v>
      </c>
      <c r="Q65" s="282">
        <v>9</v>
      </c>
      <c r="R65" s="282">
        <v>8.6999999999999993</v>
      </c>
      <c r="S65" s="282">
        <v>2.6</v>
      </c>
      <c r="T65" s="282">
        <v>9.1999999999999993</v>
      </c>
      <c r="U65" s="282">
        <v>9</v>
      </c>
      <c r="V65" s="283">
        <v>8.8000000000000007</v>
      </c>
      <c r="W65" s="264">
        <f t="shared" si="18"/>
        <v>165.29999999999998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8.4</v>
      </c>
      <c r="D66" s="19">
        <v>8.6</v>
      </c>
      <c r="E66" s="19">
        <v>2.6</v>
      </c>
      <c r="F66" s="19">
        <v>8.1999999999999993</v>
      </c>
      <c r="G66" s="19">
        <v>8.5</v>
      </c>
      <c r="H66" s="104">
        <v>8.6</v>
      </c>
      <c r="I66" s="18">
        <v>8.8000000000000007</v>
      </c>
      <c r="J66" s="19">
        <v>8.8000000000000007</v>
      </c>
      <c r="K66" s="19">
        <v>9</v>
      </c>
      <c r="L66" s="267">
        <v>2.8</v>
      </c>
      <c r="M66" s="267">
        <v>8.8000000000000007</v>
      </c>
      <c r="N66" s="19">
        <v>8.6</v>
      </c>
      <c r="O66" s="474">
        <v>8.4</v>
      </c>
      <c r="P66" s="281">
        <v>9.1</v>
      </c>
      <c r="Q66" s="282">
        <v>9</v>
      </c>
      <c r="R66" s="282">
        <v>8.6999999999999993</v>
      </c>
      <c r="S66" s="282">
        <v>2.6</v>
      </c>
      <c r="T66" s="282">
        <v>9.1999999999999993</v>
      </c>
      <c r="U66" s="282">
        <v>9</v>
      </c>
      <c r="V66" s="283">
        <v>8.8000000000000007</v>
      </c>
      <c r="W66" s="265">
        <f t="shared" si="18"/>
        <v>164.89999999999998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58.8</v>
      </c>
      <c r="C67" s="120">
        <f>SUM(C60:C66)</f>
        <v>58.899999999999991</v>
      </c>
      <c r="D67" s="120">
        <f t="shared" ref="D67:V67" si="19">SUM(D60:D66)</f>
        <v>60.2</v>
      </c>
      <c r="E67" s="120">
        <f t="shared" si="19"/>
        <v>18.2</v>
      </c>
      <c r="F67" s="120">
        <f t="shared" si="19"/>
        <v>57.400000000000006</v>
      </c>
      <c r="G67" s="120">
        <f t="shared" si="19"/>
        <v>59.3</v>
      </c>
      <c r="H67" s="268">
        <f t="shared" si="19"/>
        <v>60.2</v>
      </c>
      <c r="I67" s="122">
        <f t="shared" si="19"/>
        <v>61.599999999999994</v>
      </c>
      <c r="J67" s="120">
        <f t="shared" si="19"/>
        <v>61.199999999999989</v>
      </c>
      <c r="K67" s="120">
        <f t="shared" si="19"/>
        <v>63</v>
      </c>
      <c r="L67" s="120">
        <f t="shared" si="19"/>
        <v>19.600000000000001</v>
      </c>
      <c r="M67" s="120">
        <f t="shared" si="19"/>
        <v>62.599999999999994</v>
      </c>
      <c r="N67" s="120">
        <f t="shared" si="19"/>
        <v>61.2</v>
      </c>
      <c r="O67" s="121">
        <f t="shared" si="19"/>
        <v>61.199999999999996</v>
      </c>
      <c r="P67" s="122">
        <f t="shared" si="19"/>
        <v>63.500000000000007</v>
      </c>
      <c r="Q67" s="120">
        <f t="shared" si="19"/>
        <v>63</v>
      </c>
      <c r="R67" s="120">
        <f t="shared" si="19"/>
        <v>61.5</v>
      </c>
      <c r="S67" s="120">
        <f t="shared" si="19"/>
        <v>18.2</v>
      </c>
      <c r="T67" s="120">
        <f t="shared" si="19"/>
        <v>64.2</v>
      </c>
      <c r="U67" s="120">
        <f t="shared" si="19"/>
        <v>63</v>
      </c>
      <c r="V67" s="121">
        <f t="shared" si="19"/>
        <v>61.399999999999991</v>
      </c>
      <c r="W67" s="263">
        <f>SUM(W60:W66)</f>
        <v>1158.1999999999998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153.20105820105817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56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1080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8.4394999999999989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8.4595000000000002</v>
      </c>
      <c r="H70" s="464">
        <f t="shared" si="20"/>
        <v>8.5551999999999992</v>
      </c>
      <c r="I70" s="358">
        <f t="shared" si="20"/>
        <v>8.7818000000000005</v>
      </c>
      <c r="J70" s="31">
        <f t="shared" si="20"/>
        <v>8.7693999999999992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8.8236000000000008</v>
      </c>
      <c r="N70" s="31">
        <f t="shared" si="20"/>
        <v>8.6494999999999997</v>
      </c>
      <c r="O70" s="322">
        <f t="shared" si="20"/>
        <v>8.3968000000000007</v>
      </c>
      <c r="P70" s="30">
        <f t="shared" si="20"/>
        <v>9.0791000000000004</v>
      </c>
      <c r="Q70" s="31">
        <f t="shared" si="20"/>
        <v>8.9552000000000014</v>
      </c>
      <c r="R70" s="31">
        <f t="shared" si="20"/>
        <v>8.6893999999999991</v>
      </c>
      <c r="S70" s="31">
        <f t="shared" si="20"/>
        <v>2.5895000000000001</v>
      </c>
      <c r="T70" s="31">
        <f t="shared" si="20"/>
        <v>9.2119999999999997</v>
      </c>
      <c r="U70" s="31">
        <f t="shared" si="20"/>
        <v>8.9552000000000014</v>
      </c>
      <c r="V70" s="32">
        <f t="shared" si="20"/>
        <v>8.8217999999999996</v>
      </c>
      <c r="W70" s="362">
        <f>((W67*1000)/7)/W69</f>
        <v>153.20105820105815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59.975999999999999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61.509</v>
      </c>
      <c r="W71" s="36"/>
    </row>
    <row r="72" spans="1:26" ht="33.75" customHeight="1" thickBot="1" x14ac:dyDescent="0.3">
      <c r="A72" s="152" t="s">
        <v>15</v>
      </c>
      <c r="B72" s="37">
        <f>+(B67/B69)/7*1000</f>
        <v>152.72727272727275</v>
      </c>
      <c r="C72" s="38">
        <f t="shared" ref="C72:V72" si="22">+(C67/C69)/7*1000</f>
        <v>152.98701298701297</v>
      </c>
      <c r="D72" s="38">
        <f t="shared" si="22"/>
        <v>153.57142857142856</v>
      </c>
      <c r="E72" s="38">
        <f t="shared" si="22"/>
        <v>152.94117647058823</v>
      </c>
      <c r="F72" s="38">
        <f t="shared" si="22"/>
        <v>151.85185185185188</v>
      </c>
      <c r="G72" s="38">
        <f t="shared" si="22"/>
        <v>154.02597402597402</v>
      </c>
      <c r="H72" s="158">
        <f t="shared" si="22"/>
        <v>153.57142857142856</v>
      </c>
      <c r="I72" s="37">
        <f t="shared" si="22"/>
        <v>151.72413793103448</v>
      </c>
      <c r="J72" s="38">
        <f t="shared" si="22"/>
        <v>153.3834586466165</v>
      </c>
      <c r="K72" s="38">
        <f t="shared" si="22"/>
        <v>152.54237288135593</v>
      </c>
      <c r="L72" s="38">
        <f t="shared" si="22"/>
        <v>155.5555555555556</v>
      </c>
      <c r="M72" s="38">
        <f t="shared" si="22"/>
        <v>154.18719211822656</v>
      </c>
      <c r="N72" s="38">
        <f t="shared" si="22"/>
        <v>153.38345864661653</v>
      </c>
      <c r="O72" s="39">
        <f t="shared" si="22"/>
        <v>156.12244897959181</v>
      </c>
      <c r="P72" s="37">
        <f t="shared" si="22"/>
        <v>153.75302663438256</v>
      </c>
      <c r="Q72" s="38">
        <f t="shared" si="22"/>
        <v>152.54237288135593</v>
      </c>
      <c r="R72" s="38">
        <f t="shared" si="22"/>
        <v>154.13533834586465</v>
      </c>
      <c r="S72" s="38">
        <f t="shared" si="22"/>
        <v>152.94117647058823</v>
      </c>
      <c r="T72" s="38">
        <f t="shared" si="22"/>
        <v>152.85714285714286</v>
      </c>
      <c r="U72" s="38">
        <f t="shared" si="22"/>
        <v>152.54237288135593</v>
      </c>
      <c r="V72" s="39">
        <f t="shared" si="22"/>
        <v>151.23152709359601</v>
      </c>
      <c r="W72" s="40"/>
    </row>
    <row r="73" spans="1:26" ht="33.75" customHeight="1" x14ac:dyDescent="0.25">
      <c r="A73" s="41"/>
      <c r="B73" s="42">
        <f>B71-B67</f>
        <v>0.10500000000000398</v>
      </c>
      <c r="C73" s="42">
        <f t="shared" ref="C73:V74" si="23">C71-C67</f>
        <v>0.19750000000000512</v>
      </c>
      <c r="D73" s="42">
        <f t="shared" si="23"/>
        <v>-2.8000000000005798E-2</v>
      </c>
      <c r="E73" s="42">
        <f t="shared" si="23"/>
        <v>-0.11199999999999832</v>
      </c>
      <c r="F73" s="42">
        <f t="shared" si="23"/>
        <v>0.24499999999999744</v>
      </c>
      <c r="G73" s="42">
        <f t="shared" si="23"/>
        <v>-0.20250000000000057</v>
      </c>
      <c r="H73" s="42">
        <f t="shared" si="23"/>
        <v>-0.22400000000000375</v>
      </c>
      <c r="I73" s="42">
        <f t="shared" si="23"/>
        <v>-9.0999999999993975E-2</v>
      </c>
      <c r="J73" s="42">
        <f t="shared" si="23"/>
        <v>-0.15299999999999159</v>
      </c>
      <c r="K73" s="42">
        <f t="shared" si="23"/>
        <v>0.18900000000000006</v>
      </c>
      <c r="L73" s="42">
        <f t="shared" si="23"/>
        <v>-0.32200000000000273</v>
      </c>
      <c r="M73" s="42">
        <f t="shared" si="23"/>
        <v>-0.48199999999999221</v>
      </c>
      <c r="N73" s="42">
        <f t="shared" si="23"/>
        <v>-0.35250000000000625</v>
      </c>
      <c r="O73" s="42">
        <f t="shared" si="23"/>
        <v>-1.6159999999999926</v>
      </c>
      <c r="P73" s="42">
        <f t="shared" si="23"/>
        <v>-0.1045000000000087</v>
      </c>
      <c r="Q73" s="42">
        <f t="shared" si="23"/>
        <v>-0.22399999999999665</v>
      </c>
      <c r="R73" s="42">
        <f t="shared" si="23"/>
        <v>-0.45300000000000296</v>
      </c>
      <c r="S73" s="42">
        <f t="shared" si="23"/>
        <v>-5.2499999999998437E-2</v>
      </c>
      <c r="T73" s="42">
        <f t="shared" si="23"/>
        <v>6.0000000000002274E-2</v>
      </c>
      <c r="U73" s="42">
        <f t="shared" si="23"/>
        <v>-0.22399999999999665</v>
      </c>
      <c r="V73" s="42">
        <f t="shared" si="23"/>
        <v>0.10900000000000887</v>
      </c>
      <c r="W73" s="42"/>
      <c r="X73" s="42"/>
    </row>
    <row r="74" spans="1:26" ht="33.75" customHeight="1" x14ac:dyDescent="0.25">
      <c r="A74" s="41"/>
      <c r="B74" s="42">
        <f>B72-B68</f>
        <v>-0.27272727272725206</v>
      </c>
      <c r="C74" s="42">
        <f t="shared" si="23"/>
        <v>-0.51298701298702554</v>
      </c>
      <c r="D74" s="42">
        <f t="shared" si="23"/>
        <v>7.1428571428555188E-2</v>
      </c>
      <c r="E74" s="42">
        <f t="shared" si="23"/>
        <v>0.94117647058823195</v>
      </c>
      <c r="F74" s="42">
        <f t="shared" si="23"/>
        <v>-0.64814814814812394</v>
      </c>
      <c r="G74" s="42">
        <f t="shared" si="23"/>
        <v>0.52597402597402265</v>
      </c>
      <c r="H74" s="42">
        <f t="shared" si="23"/>
        <v>0.57142857142855519</v>
      </c>
      <c r="I74" s="42">
        <f t="shared" si="23"/>
        <v>0.22413793103447688</v>
      </c>
      <c r="J74" s="42">
        <f t="shared" si="23"/>
        <v>0.38345864661650353</v>
      </c>
      <c r="K74" s="42">
        <f t="shared" si="23"/>
        <v>-0.45762711864406924</v>
      </c>
      <c r="L74" s="42">
        <f t="shared" si="23"/>
        <v>2.5555555555555998</v>
      </c>
      <c r="M74" s="42">
        <f t="shared" si="23"/>
        <v>1.1871921182265623</v>
      </c>
      <c r="N74" s="42">
        <f t="shared" si="23"/>
        <v>0.88345864661653195</v>
      </c>
      <c r="O74" s="42">
        <f t="shared" si="23"/>
        <v>4.1224489795918089</v>
      </c>
      <c r="P74" s="42">
        <f t="shared" si="23"/>
        <v>0.25302663438256445</v>
      </c>
      <c r="Q74" s="42">
        <f>Q72-Q68</f>
        <v>0.54237288135593076</v>
      </c>
      <c r="R74" s="42">
        <f t="shared" si="23"/>
        <v>1.1353383458646533</v>
      </c>
      <c r="S74" s="42">
        <f t="shared" si="23"/>
        <v>0.44117647058823195</v>
      </c>
      <c r="T74" s="42">
        <f t="shared" si="23"/>
        <v>-0.1428571428571388</v>
      </c>
      <c r="U74" s="42">
        <f t="shared" si="23"/>
        <v>0.54237288135593076</v>
      </c>
      <c r="V74" s="42">
        <f t="shared" si="23"/>
        <v>-0.26847290640398569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B54:D54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44"/>
  <dimension ref="A1:AE244"/>
  <sheetViews>
    <sheetView topLeftCell="G31" zoomScale="30" zoomScaleNormal="30" workbookViewId="0">
      <selection activeCell="W60" sqref="W60:W70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30</v>
      </c>
      <c r="Q11" s="1022"/>
      <c r="R11" s="6"/>
      <c r="S11" s="1" t="s">
        <v>6</v>
      </c>
      <c r="T11" s="95">
        <v>45581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/>
      <c r="C21" s="497"/>
      <c r="D21" s="497"/>
      <c r="E21" s="497"/>
      <c r="F21" s="497"/>
      <c r="G21" s="497"/>
      <c r="H21" s="498"/>
      <c r="I21" s="126"/>
      <c r="J21" s="497"/>
      <c r="K21" s="497"/>
      <c r="L21" s="497"/>
      <c r="M21" s="497"/>
      <c r="N21" s="497"/>
      <c r="O21" s="497"/>
      <c r="P21" s="133"/>
      <c r="Q21" s="497"/>
      <c r="R21" s="497"/>
      <c r="S21" s="497"/>
      <c r="T21" s="497"/>
      <c r="U21" s="497"/>
      <c r="V21" s="498"/>
      <c r="W21" s="98">
        <f t="shared" si="0"/>
        <v>0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286.5</v>
      </c>
      <c r="C25" s="120">
        <f>SUM(C18:C24)</f>
        <v>287.10000000000002</v>
      </c>
      <c r="D25" s="120">
        <f t="shared" ref="D25:V25" si="1">SUM(D18:D24)</f>
        <v>283.3</v>
      </c>
      <c r="E25" s="120">
        <f t="shared" si="1"/>
        <v>89.1</v>
      </c>
      <c r="F25" s="120">
        <f t="shared" si="1"/>
        <v>289.5</v>
      </c>
      <c r="G25" s="120">
        <f t="shared" si="1"/>
        <v>287.10000000000002</v>
      </c>
      <c r="H25" s="121">
        <f t="shared" si="1"/>
        <v>287.39999999999998</v>
      </c>
      <c r="I25" s="122">
        <f t="shared" si="1"/>
        <v>301.20000000000005</v>
      </c>
      <c r="J25" s="120">
        <f t="shared" si="1"/>
        <v>295.79999999999995</v>
      </c>
      <c r="K25" s="120">
        <f t="shared" si="1"/>
        <v>296</v>
      </c>
      <c r="L25" s="120">
        <f t="shared" si="1"/>
        <v>88.5</v>
      </c>
      <c r="M25" s="120">
        <f t="shared" si="1"/>
        <v>301.79999999999995</v>
      </c>
      <c r="N25" s="120">
        <f t="shared" si="1"/>
        <v>301.79999999999995</v>
      </c>
      <c r="O25" s="121">
        <f t="shared" si="1"/>
        <v>291</v>
      </c>
      <c r="P25" s="122">
        <f t="shared" si="1"/>
        <v>300.29999999999995</v>
      </c>
      <c r="Q25" s="120">
        <f t="shared" si="1"/>
        <v>305.70000000000005</v>
      </c>
      <c r="R25" s="120">
        <f t="shared" si="1"/>
        <v>301.8</v>
      </c>
      <c r="S25" s="120">
        <f t="shared" si="1"/>
        <v>93</v>
      </c>
      <c r="T25" s="120">
        <f t="shared" si="1"/>
        <v>303.5</v>
      </c>
      <c r="U25" s="120">
        <f t="shared" si="1"/>
        <v>302.3</v>
      </c>
      <c r="V25" s="121">
        <f t="shared" si="1"/>
        <v>282.60000000000002</v>
      </c>
      <c r="W25" s="361">
        <f>SUM(W18:W24)</f>
        <v>5575.3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157.72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152.85</v>
      </c>
      <c r="W26" s="99">
        <f>((W25/W27)/7)*1000</f>
        <v>69.719137655062028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585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615</v>
      </c>
      <c r="P27" s="26">
        <v>617</v>
      </c>
      <c r="Q27" s="27">
        <v>622</v>
      </c>
      <c r="R27" s="27">
        <v>613</v>
      </c>
      <c r="S27" s="27">
        <v>189</v>
      </c>
      <c r="T27" s="27">
        <v>617</v>
      </c>
      <c r="U27" s="27">
        <v>615</v>
      </c>
      <c r="V27" s="28">
        <v>616</v>
      </c>
      <c r="W27" s="29">
        <f>SUM(B27:V27)</f>
        <v>11424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96.997799999999998</v>
      </c>
      <c r="P28" s="30">
        <f t="shared" si="2"/>
        <v>101.07693999999999</v>
      </c>
      <c r="Q28" s="31">
        <f t="shared" si="2"/>
        <v>101.89604</v>
      </c>
      <c r="R28" s="31">
        <f t="shared" si="2"/>
        <v>100.42166</v>
      </c>
      <c r="S28" s="31">
        <f t="shared" si="2"/>
        <v>30.961980000000004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94.155600000000021</v>
      </c>
      <c r="W28" s="362">
        <f>((W25*1000)/7)/W27</f>
        <v>69.719137655062013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678.9846</v>
      </c>
      <c r="P29" s="281">
        <f t="shared" si="3"/>
        <v>707.53858000000002</v>
      </c>
      <c r="Q29" s="282">
        <f t="shared" si="3"/>
        <v>713.27227999999991</v>
      </c>
      <c r="R29" s="282">
        <f t="shared" si="3"/>
        <v>702.95161999999993</v>
      </c>
      <c r="S29" s="282">
        <f t="shared" si="3"/>
        <v>216.73385999999999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659.08920000000001</v>
      </c>
      <c r="W29" s="36"/>
    </row>
    <row r="30" spans="1:31" ht="33.75" customHeight="1" thickBot="1" x14ac:dyDescent="0.3">
      <c r="A30" s="152" t="s">
        <v>15</v>
      </c>
      <c r="B30" s="37">
        <f>+(B25/B27)/7*1000</f>
        <v>70.203381524136248</v>
      </c>
      <c r="C30" s="38">
        <f t="shared" ref="C30:V30" si="4">+(C25/C27)/7*1000</f>
        <v>70.229941291585135</v>
      </c>
      <c r="D30" s="38">
        <f t="shared" si="4"/>
        <v>70.141124040604112</v>
      </c>
      <c r="E30" s="38">
        <f t="shared" si="4"/>
        <v>70.323599052880809</v>
      </c>
      <c r="F30" s="38">
        <f t="shared" si="4"/>
        <v>70.215862236235736</v>
      </c>
      <c r="G30" s="38">
        <f t="shared" si="4"/>
        <v>70.350404312668459</v>
      </c>
      <c r="H30" s="39">
        <f t="shared" si="4"/>
        <v>70.183150183150175</v>
      </c>
      <c r="I30" s="37">
        <f t="shared" si="4"/>
        <v>70.193428105336764</v>
      </c>
      <c r="J30" s="38">
        <f t="shared" si="4"/>
        <v>70.194589463692438</v>
      </c>
      <c r="K30" s="38">
        <f t="shared" si="4"/>
        <v>68.757259001161444</v>
      </c>
      <c r="L30" s="38">
        <f t="shared" si="4"/>
        <v>70.238095238095241</v>
      </c>
      <c r="M30" s="38">
        <f t="shared" si="4"/>
        <v>70.218706375058161</v>
      </c>
      <c r="N30" s="38">
        <f t="shared" si="4"/>
        <v>70.218706375058161</v>
      </c>
      <c r="O30" s="39">
        <f t="shared" si="4"/>
        <v>67.595818815331015</v>
      </c>
      <c r="P30" s="37">
        <f t="shared" si="4"/>
        <v>69.529983792544556</v>
      </c>
      <c r="Q30" s="38">
        <f t="shared" si="4"/>
        <v>70.21129995406524</v>
      </c>
      <c r="R30" s="38">
        <f t="shared" si="4"/>
        <v>70.333255651363316</v>
      </c>
      <c r="S30" s="38">
        <f t="shared" si="4"/>
        <v>70.294784580498856</v>
      </c>
      <c r="T30" s="38">
        <f t="shared" si="4"/>
        <v>70.270896040750173</v>
      </c>
      <c r="U30" s="38">
        <f t="shared" si="4"/>
        <v>70.22067363530779</v>
      </c>
      <c r="V30" s="39">
        <f t="shared" si="4"/>
        <v>65.538033395176257</v>
      </c>
      <c r="W30" s="40"/>
    </row>
    <row r="31" spans="1:31" ht="33.75" customHeight="1" x14ac:dyDescent="0.25">
      <c r="A31" s="41"/>
      <c r="B31" s="42">
        <f>B29-B25</f>
        <v>382.04941999999994</v>
      </c>
      <c r="C31" s="42">
        <f t="shared" ref="C31:V32" si="5">C29-C25</f>
        <v>382.59615999999994</v>
      </c>
      <c r="D31" s="42">
        <f t="shared" si="5"/>
        <v>378.36898000000002</v>
      </c>
      <c r="E31" s="42">
        <f t="shared" si="5"/>
        <v>118.45994000000002</v>
      </c>
      <c r="F31" s="42">
        <f t="shared" si="5"/>
        <v>385.92985999999996</v>
      </c>
      <c r="G31" s="42">
        <f t="shared" si="5"/>
        <v>381.44941999999992</v>
      </c>
      <c r="H31" s="42">
        <f t="shared" si="5"/>
        <v>383.44290000000001</v>
      </c>
      <c r="I31" s="42">
        <f t="shared" si="5"/>
        <v>401.75161999999989</v>
      </c>
      <c r="J31" s="42">
        <f t="shared" si="5"/>
        <v>394.53748000000007</v>
      </c>
      <c r="K31" s="42">
        <f t="shared" si="5"/>
        <v>409.24509999999998</v>
      </c>
      <c r="L31" s="42">
        <f t="shared" si="5"/>
        <v>117.91319999999999</v>
      </c>
      <c r="M31" s="42">
        <f t="shared" si="5"/>
        <v>402.29836</v>
      </c>
      <c r="N31" s="42">
        <f t="shared" si="5"/>
        <v>402.29836</v>
      </c>
      <c r="O31" s="42">
        <f t="shared" si="5"/>
        <v>387.9846</v>
      </c>
      <c r="P31" s="42">
        <f t="shared" si="5"/>
        <v>407.23858000000007</v>
      </c>
      <c r="Q31" s="42">
        <f t="shared" si="5"/>
        <v>407.57227999999986</v>
      </c>
      <c r="R31" s="42">
        <f t="shared" si="5"/>
        <v>401.15161999999992</v>
      </c>
      <c r="S31" s="42">
        <f t="shared" si="5"/>
        <v>123.73385999999999</v>
      </c>
      <c r="T31" s="42">
        <f t="shared" si="5"/>
        <v>404.03858000000002</v>
      </c>
      <c r="U31" s="42">
        <f t="shared" si="5"/>
        <v>402.94509999999997</v>
      </c>
      <c r="V31" s="42">
        <f t="shared" si="5"/>
        <v>376.48919999999998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-93.616618475863746</v>
      </c>
      <c r="C32" s="42">
        <f t="shared" si="5"/>
        <v>-93.590058708414858</v>
      </c>
      <c r="D32" s="42">
        <f t="shared" si="5"/>
        <v>-93.678875959395882</v>
      </c>
      <c r="E32" s="42">
        <f t="shared" si="5"/>
        <v>-93.496400947119184</v>
      </c>
      <c r="F32" s="42">
        <f t="shared" si="5"/>
        <v>-93.604137763764257</v>
      </c>
      <c r="G32" s="42">
        <f t="shared" si="5"/>
        <v>-93.469595687331534</v>
      </c>
      <c r="H32" s="42">
        <f t="shared" si="5"/>
        <v>-93.636849816849818</v>
      </c>
      <c r="I32" s="42">
        <f t="shared" si="5"/>
        <v>-93.626571894663229</v>
      </c>
      <c r="J32" s="42">
        <f t="shared" si="5"/>
        <v>-93.625410536307555</v>
      </c>
      <c r="K32" s="42">
        <f t="shared" si="5"/>
        <v>-95.062740998838549</v>
      </c>
      <c r="L32" s="42">
        <f t="shared" si="5"/>
        <v>-93.581904761904752</v>
      </c>
      <c r="M32" s="42">
        <f t="shared" si="5"/>
        <v>-93.601293624941832</v>
      </c>
      <c r="N32" s="42">
        <f t="shared" si="5"/>
        <v>-93.601293624941832</v>
      </c>
      <c r="O32" s="42">
        <f t="shared" si="5"/>
        <v>-90.124181184668984</v>
      </c>
      <c r="P32" s="42">
        <f t="shared" si="5"/>
        <v>-94.290016207455437</v>
      </c>
      <c r="Q32" s="42">
        <f>Q30-Q26</f>
        <v>-93.608700045934754</v>
      </c>
      <c r="R32" s="42">
        <f t="shared" si="5"/>
        <v>-93.486744348636677</v>
      </c>
      <c r="S32" s="42">
        <f t="shared" si="5"/>
        <v>-93.525215419501137</v>
      </c>
      <c r="T32" s="42">
        <f t="shared" si="5"/>
        <v>-93.54910395924982</v>
      </c>
      <c r="U32" s="42">
        <f t="shared" si="5"/>
        <v>-93.599326364692203</v>
      </c>
      <c r="V32" s="42">
        <f t="shared" si="5"/>
        <v>-87.311966604823738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8</v>
      </c>
      <c r="Q41" s="19">
        <v>1.1000000000000001</v>
      </c>
      <c r="R41" s="19">
        <v>7</v>
      </c>
      <c r="S41" s="19">
        <v>7.7</v>
      </c>
      <c r="T41" s="19">
        <v>8.1999999999999993</v>
      </c>
      <c r="U41" s="264">
        <f t="shared" si="7"/>
        <v>39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/>
      <c r="C42" s="497"/>
      <c r="D42" s="497"/>
      <c r="E42" s="497"/>
      <c r="F42" s="497"/>
      <c r="G42" s="498"/>
      <c r="H42" s="264">
        <f t="shared" si="6"/>
        <v>0</v>
      </c>
      <c r="I42" s="49"/>
      <c r="J42" s="2"/>
      <c r="K42" s="2"/>
      <c r="L42" s="2"/>
      <c r="M42" s="2"/>
      <c r="N42" s="146" t="s">
        <v>28</v>
      </c>
      <c r="O42" s="18"/>
      <c r="P42" s="19"/>
      <c r="Q42" s="19"/>
      <c r="R42" s="19"/>
      <c r="S42" s="19"/>
      <c r="T42" s="19"/>
      <c r="U42" s="264">
        <f t="shared" si="7"/>
        <v>0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/>
      <c r="P43" s="19"/>
      <c r="Q43" s="19"/>
      <c r="R43" s="19"/>
      <c r="S43" s="19"/>
      <c r="T43" s="19"/>
      <c r="U43" s="264">
        <f t="shared" si="7"/>
        <v>0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362.30000000000007</v>
      </c>
      <c r="C46" s="120">
        <f t="shared" si="8"/>
        <v>363.8</v>
      </c>
      <c r="D46" s="120">
        <f t="shared" si="8"/>
        <v>105.6</v>
      </c>
      <c r="E46" s="120">
        <f t="shared" si="8"/>
        <v>368.1</v>
      </c>
      <c r="F46" s="120">
        <f t="shared" si="8"/>
        <v>368.70000000000005</v>
      </c>
      <c r="G46" s="121">
        <f t="shared" si="8"/>
        <v>368.7</v>
      </c>
      <c r="H46" s="275">
        <f t="shared" si="6"/>
        <v>1937.2000000000003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36.5</v>
      </c>
      <c r="P46" s="120">
        <f t="shared" si="9"/>
        <v>40</v>
      </c>
      <c r="Q46" s="120">
        <f t="shared" si="9"/>
        <v>6.8000000000000007</v>
      </c>
      <c r="R46" s="120">
        <f t="shared" si="9"/>
        <v>36.199999999999996</v>
      </c>
      <c r="S46" s="120">
        <f t="shared" si="9"/>
        <v>38.5</v>
      </c>
      <c r="T46" s="120">
        <f t="shared" si="9"/>
        <v>41</v>
      </c>
      <c r="U46" s="326">
        <f t="shared" si="7"/>
        <v>199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147.47</v>
      </c>
      <c r="D47" s="520">
        <v>150.9</v>
      </c>
      <c r="E47" s="24">
        <v>149.91999999999999</v>
      </c>
      <c r="F47" s="24">
        <v>149.91999999999999</v>
      </c>
      <c r="G47" s="25">
        <v>149.91999999999999</v>
      </c>
      <c r="H47" s="128">
        <f>+((H46/H48)/7)*1000</f>
        <v>84.734493920041999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106.87432867883996</v>
      </c>
      <c r="V47" s="50"/>
    </row>
    <row r="48" spans="1:31" ht="33.75" customHeight="1" x14ac:dyDescent="0.25">
      <c r="A48" s="149" t="s">
        <v>12</v>
      </c>
      <c r="B48" s="26">
        <v>608</v>
      </c>
      <c r="C48" s="27">
        <v>614</v>
      </c>
      <c r="D48" s="27">
        <v>177</v>
      </c>
      <c r="E48" s="27">
        <v>620</v>
      </c>
      <c r="F48" s="27">
        <v>621</v>
      </c>
      <c r="G48" s="28">
        <v>626</v>
      </c>
      <c r="H48" s="129">
        <f>SUM(B48:G48)</f>
        <v>3266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52</v>
      </c>
      <c r="T48" s="278">
        <v>55</v>
      </c>
      <c r="U48" s="235">
        <f>SUM(O48:T48)</f>
        <v>266</v>
      </c>
      <c r="V48" s="52"/>
    </row>
    <row r="49" spans="1:30" ht="33.75" customHeight="1" x14ac:dyDescent="0.25">
      <c r="A49" s="150" t="s">
        <v>13</v>
      </c>
      <c r="B49" s="30">
        <f>(B48*B47)/1000</f>
        <v>92.148479999999992</v>
      </c>
      <c r="C49" s="31">
        <f t="shared" ref="C49:G49" si="10">(C48*C47)/1000</f>
        <v>90.546580000000006</v>
      </c>
      <c r="D49" s="31">
        <f t="shared" si="10"/>
        <v>26.709299999999999</v>
      </c>
      <c r="E49" s="31">
        <f t="shared" si="10"/>
        <v>92.950399999999988</v>
      </c>
      <c r="F49" s="31">
        <f t="shared" si="10"/>
        <v>93.100319999999996</v>
      </c>
      <c r="G49" s="32">
        <f t="shared" si="10"/>
        <v>93.849919999999997</v>
      </c>
      <c r="H49" s="130">
        <f>((H46*1000)/H48)/7</f>
        <v>84.734493920042013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7.1156000000000006</v>
      </c>
      <c r="P49" s="31">
        <f t="shared" si="11"/>
        <v>7.9510000000000005</v>
      </c>
      <c r="Q49" s="31">
        <f t="shared" si="11"/>
        <v>1.1175999999999999</v>
      </c>
      <c r="R49" s="31">
        <f t="shared" si="11"/>
        <v>7.0656000000000008</v>
      </c>
      <c r="S49" s="31">
        <f t="shared" si="11"/>
        <v>7.7308000000000003</v>
      </c>
      <c r="T49" s="31">
        <f t="shared" si="11"/>
        <v>8.1930000000000014</v>
      </c>
      <c r="U49" s="253">
        <f>((U46*1000)/U48)/7</f>
        <v>106.87432867883994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645.03935999999999</v>
      </c>
      <c r="C50" s="282">
        <f t="shared" si="12"/>
        <v>633.8260600000001</v>
      </c>
      <c r="D50" s="282">
        <f t="shared" si="12"/>
        <v>186.96510000000001</v>
      </c>
      <c r="E50" s="282">
        <f t="shared" si="12"/>
        <v>650.65279999999996</v>
      </c>
      <c r="F50" s="282">
        <f t="shared" si="12"/>
        <v>651.70223999999996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50.078000000000003</v>
      </c>
      <c r="P50" s="282">
        <f t="shared" si="13"/>
        <v>55.755000000000003</v>
      </c>
      <c r="Q50" s="282">
        <f t="shared" si="13"/>
        <v>8.2880000000000003</v>
      </c>
      <c r="R50" s="282">
        <f t="shared" si="13"/>
        <v>49.728000000000002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85.126879699248136</v>
      </c>
      <c r="C51" s="38">
        <f t="shared" si="14"/>
        <v>84.644020474639376</v>
      </c>
      <c r="D51" s="38">
        <f t="shared" si="14"/>
        <v>85.230024213075041</v>
      </c>
      <c r="E51" s="38">
        <f t="shared" si="14"/>
        <v>84.815668202764982</v>
      </c>
      <c r="F51" s="38">
        <f t="shared" si="14"/>
        <v>84.81711525189786</v>
      </c>
      <c r="G51" s="39">
        <f t="shared" si="14"/>
        <v>84.139662254678214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106.41399416909623</v>
      </c>
      <c r="P51" s="38">
        <f t="shared" si="15"/>
        <v>105.82010582010581</v>
      </c>
      <c r="Q51" s="38">
        <f t="shared" si="15"/>
        <v>121.42857142857144</v>
      </c>
      <c r="R51" s="38">
        <f t="shared" si="15"/>
        <v>107.73809523809521</v>
      </c>
      <c r="S51" s="38">
        <f t="shared" si="15"/>
        <v>105.76923076923077</v>
      </c>
      <c r="T51" s="38">
        <f t="shared" si="15"/>
        <v>106.4935064935065</v>
      </c>
      <c r="U51" s="255"/>
      <c r="V51" s="42"/>
    </row>
    <row r="52" spans="1:30" ht="33.75" customHeight="1" x14ac:dyDescent="0.25">
      <c r="A52" s="41"/>
      <c r="B52" s="42">
        <f>B50-B46</f>
        <v>282.73935999999992</v>
      </c>
      <c r="C52" s="42">
        <f t="shared" ref="C52:G53" si="16">C50-C46</f>
        <v>270.02606000000009</v>
      </c>
      <c r="D52" s="42">
        <f t="shared" si="16"/>
        <v>81.365100000000012</v>
      </c>
      <c r="E52" s="42">
        <f t="shared" si="16"/>
        <v>282.55279999999993</v>
      </c>
      <c r="F52" s="42">
        <f t="shared" si="16"/>
        <v>283.00223999999992</v>
      </c>
      <c r="G52" s="42">
        <f t="shared" si="16"/>
        <v>288.24943999999999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13.578000000000003</v>
      </c>
      <c r="P52" s="42">
        <f t="shared" si="17"/>
        <v>15.755000000000003</v>
      </c>
      <c r="Q52" s="42">
        <f t="shared" si="17"/>
        <v>1.4879999999999995</v>
      </c>
      <c r="R52" s="42">
        <f t="shared" si="17"/>
        <v>13.528000000000006</v>
      </c>
      <c r="S52" s="42">
        <f t="shared" si="17"/>
        <v>15.554000000000002</v>
      </c>
      <c r="T52" s="42">
        <f t="shared" si="17"/>
        <v>16.365000000000002</v>
      </c>
    </row>
    <row r="53" spans="1:30" ht="33.75" customHeight="1" x14ac:dyDescent="0.25">
      <c r="A53" s="41"/>
      <c r="B53" s="42">
        <f>B51-B47</f>
        <v>-66.433120300751867</v>
      </c>
      <c r="C53" s="42">
        <f t="shared" si="16"/>
        <v>-62.825979525360623</v>
      </c>
      <c r="D53" s="42">
        <f t="shared" si="16"/>
        <v>-65.669975786924965</v>
      </c>
      <c r="E53" s="42">
        <f t="shared" si="16"/>
        <v>-65.104331797235005</v>
      </c>
      <c r="F53" s="42">
        <f t="shared" si="16"/>
        <v>-65.102884748102127</v>
      </c>
      <c r="G53" s="42">
        <f t="shared" si="16"/>
        <v>-65.780337745321773</v>
      </c>
      <c r="I53" s="2"/>
      <c r="J53" s="2"/>
      <c r="K53" s="45"/>
      <c r="L53" s="41"/>
      <c r="M53" s="42"/>
      <c r="N53" s="42"/>
      <c r="O53" s="42">
        <f t="shared" si="17"/>
        <v>-39.586005830903773</v>
      </c>
      <c r="P53" s="42">
        <f t="shared" si="17"/>
        <v>-41.679894179894191</v>
      </c>
      <c r="Q53" s="42">
        <f t="shared" si="17"/>
        <v>-26.571428571428555</v>
      </c>
      <c r="R53" s="42">
        <f t="shared" si="17"/>
        <v>-40.261904761904788</v>
      </c>
      <c r="S53" s="42">
        <f t="shared" si="17"/>
        <v>-42.730769230769226</v>
      </c>
      <c r="T53" s="42">
        <f t="shared" si="17"/>
        <v>-42.506493506493499</v>
      </c>
      <c r="W53" s="3"/>
    </row>
    <row r="54" spans="1:30" ht="33.75" customHeight="1" x14ac:dyDescent="0.25">
      <c r="A54" s="41"/>
      <c r="B54" s="1050" t="s">
        <v>115</v>
      </c>
      <c r="C54" s="1050"/>
      <c r="D54" s="1050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8"/>
      <c r="P56" s="1018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8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9.1</v>
      </c>
      <c r="Q61" s="282">
        <v>9</v>
      </c>
      <c r="R61" s="282">
        <v>8.6999999999999993</v>
      </c>
      <c r="S61" s="282">
        <v>2.6</v>
      </c>
      <c r="T61" s="282">
        <v>9.1999999999999993</v>
      </c>
      <c r="U61" s="282">
        <v>9</v>
      </c>
      <c r="V61" s="283">
        <v>8.8000000000000007</v>
      </c>
      <c r="W61" s="264">
        <f t="shared" si="18"/>
        <v>164.89999999999998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8.3000000000000007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8.8000000000000007</v>
      </c>
      <c r="N62" s="19">
        <v>8.6</v>
      </c>
      <c r="O62" s="474">
        <v>8.4</v>
      </c>
      <c r="P62" s="281">
        <v>9.1</v>
      </c>
      <c r="Q62" s="282">
        <v>9</v>
      </c>
      <c r="R62" s="282">
        <v>8.6999999999999993</v>
      </c>
      <c r="S62" s="282">
        <v>2.6</v>
      </c>
      <c r="T62" s="282">
        <v>9.1999999999999993</v>
      </c>
      <c r="U62" s="282">
        <v>9</v>
      </c>
      <c r="V62" s="283">
        <v>8.6</v>
      </c>
      <c r="W62" s="264">
        <f t="shared" si="18"/>
        <v>164.39999999999995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/>
      <c r="C63" s="19"/>
      <c r="D63" s="19"/>
      <c r="E63" s="19"/>
      <c r="F63" s="19"/>
      <c r="G63" s="19"/>
      <c r="H63" s="104"/>
      <c r="I63" s="18"/>
      <c r="J63" s="19"/>
      <c r="K63" s="19"/>
      <c r="L63" s="267"/>
      <c r="M63" s="267"/>
      <c r="N63" s="19"/>
      <c r="O63" s="474"/>
      <c r="P63" s="281"/>
      <c r="Q63" s="282"/>
      <c r="R63" s="282"/>
      <c r="S63" s="282"/>
      <c r="T63" s="282"/>
      <c r="U63" s="282"/>
      <c r="V63" s="283"/>
      <c r="W63" s="264">
        <f t="shared" si="18"/>
        <v>0</v>
      </c>
      <c r="X63" s="2"/>
      <c r="Y63" s="2"/>
      <c r="Z63" s="2"/>
    </row>
    <row r="64" spans="1:30" ht="33.75" customHeight="1" x14ac:dyDescent="0.25">
      <c r="A64" s="146" t="s">
        <v>21</v>
      </c>
      <c r="B64" s="18"/>
      <c r="C64" s="19"/>
      <c r="D64" s="19"/>
      <c r="E64" s="19"/>
      <c r="F64" s="19"/>
      <c r="G64" s="19"/>
      <c r="H64" s="104"/>
      <c r="I64" s="18"/>
      <c r="J64" s="19"/>
      <c r="K64" s="19"/>
      <c r="L64" s="267"/>
      <c r="M64" s="267"/>
      <c r="N64" s="19"/>
      <c r="O64" s="474"/>
      <c r="P64" s="281"/>
      <c r="Q64" s="282"/>
      <c r="R64" s="282"/>
      <c r="S64" s="282"/>
      <c r="T64" s="282"/>
      <c r="U64" s="282"/>
      <c r="V64" s="283"/>
      <c r="W64" s="264">
        <f t="shared" si="18"/>
        <v>0</v>
      </c>
      <c r="X64" s="2"/>
      <c r="Y64" s="2"/>
      <c r="Z64" s="2"/>
    </row>
    <row r="65" spans="1:26" ht="33.75" customHeight="1" x14ac:dyDescent="0.25">
      <c r="A65" s="146" t="s">
        <v>22</v>
      </c>
      <c r="B65" s="18"/>
      <c r="C65" s="19"/>
      <c r="D65" s="19"/>
      <c r="E65" s="19"/>
      <c r="F65" s="19"/>
      <c r="G65" s="19"/>
      <c r="H65" s="104"/>
      <c r="I65" s="18"/>
      <c r="J65" s="19"/>
      <c r="K65" s="19"/>
      <c r="L65" s="267"/>
      <c r="M65" s="267"/>
      <c r="N65" s="19"/>
      <c r="O65" s="474"/>
      <c r="P65" s="281"/>
      <c r="Q65" s="282"/>
      <c r="R65" s="282"/>
      <c r="S65" s="282"/>
      <c r="T65" s="282"/>
      <c r="U65" s="282"/>
      <c r="V65" s="283"/>
      <c r="W65" s="264">
        <f t="shared" si="18"/>
        <v>0</v>
      </c>
      <c r="X65" s="2"/>
      <c r="Y65" s="2"/>
      <c r="Z65" s="2"/>
    </row>
    <row r="66" spans="1:26" ht="33.75" customHeight="1" thickBot="1" x14ac:dyDescent="0.3">
      <c r="A66" s="146" t="s">
        <v>23</v>
      </c>
      <c r="B66" s="18"/>
      <c r="C66" s="19"/>
      <c r="D66" s="19"/>
      <c r="E66" s="19"/>
      <c r="F66" s="19"/>
      <c r="G66" s="19"/>
      <c r="H66" s="104"/>
      <c r="I66" s="18"/>
      <c r="J66" s="19"/>
      <c r="K66" s="19"/>
      <c r="L66" s="267"/>
      <c r="M66" s="267"/>
      <c r="N66" s="19"/>
      <c r="O66" s="474"/>
      <c r="P66" s="281"/>
      <c r="Q66" s="282"/>
      <c r="R66" s="282"/>
      <c r="S66" s="282"/>
      <c r="T66" s="282"/>
      <c r="U66" s="282"/>
      <c r="V66" s="283"/>
      <c r="W66" s="265">
        <f t="shared" si="18"/>
        <v>0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25.200000000000003</v>
      </c>
      <c r="C67" s="120">
        <f>SUM(C60:C66)</f>
        <v>25.200000000000003</v>
      </c>
      <c r="D67" s="120">
        <f t="shared" ref="D67:V67" si="19">SUM(D60:D66)</f>
        <v>25.799999999999997</v>
      </c>
      <c r="E67" s="120">
        <f t="shared" si="19"/>
        <v>7.8000000000000007</v>
      </c>
      <c r="F67" s="120">
        <f t="shared" si="19"/>
        <v>24.599999999999998</v>
      </c>
      <c r="G67" s="120">
        <f t="shared" si="19"/>
        <v>25.5</v>
      </c>
      <c r="H67" s="268">
        <f t="shared" si="19"/>
        <v>25.5</v>
      </c>
      <c r="I67" s="122">
        <f t="shared" si="19"/>
        <v>26.400000000000002</v>
      </c>
      <c r="J67" s="120">
        <f t="shared" si="19"/>
        <v>26.400000000000002</v>
      </c>
      <c r="K67" s="120">
        <f t="shared" si="19"/>
        <v>27</v>
      </c>
      <c r="L67" s="120">
        <f t="shared" si="19"/>
        <v>8.3999999999999986</v>
      </c>
      <c r="M67" s="120">
        <f t="shared" si="19"/>
        <v>26.400000000000002</v>
      </c>
      <c r="N67" s="120">
        <f t="shared" si="19"/>
        <v>25.799999999999997</v>
      </c>
      <c r="O67" s="121">
        <f t="shared" si="19"/>
        <v>25.6</v>
      </c>
      <c r="P67" s="122">
        <f t="shared" si="19"/>
        <v>27.299999999999997</v>
      </c>
      <c r="Q67" s="120">
        <f t="shared" si="19"/>
        <v>27</v>
      </c>
      <c r="R67" s="120">
        <f t="shared" si="19"/>
        <v>26.099999999999998</v>
      </c>
      <c r="S67" s="120">
        <f t="shared" si="19"/>
        <v>7.8000000000000007</v>
      </c>
      <c r="T67" s="120">
        <f t="shared" si="19"/>
        <v>27.599999999999998</v>
      </c>
      <c r="U67" s="120">
        <f t="shared" si="19"/>
        <v>27</v>
      </c>
      <c r="V67" s="121">
        <f t="shared" si="19"/>
        <v>26.200000000000003</v>
      </c>
      <c r="W67" s="263">
        <f>SUM(W60:W66)</f>
        <v>494.59999999999991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65.54465942221043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57</v>
      </c>
      <c r="W69" s="29">
        <f>SUM(B69:V69)</f>
        <v>1078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8.4595000000000002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8.4194999999999993</v>
      </c>
      <c r="H70" s="464">
        <f t="shared" si="20"/>
        <v>8.3409999999999993</v>
      </c>
      <c r="I70" s="358">
        <f t="shared" si="20"/>
        <v>8.7818000000000005</v>
      </c>
      <c r="J70" s="31">
        <f t="shared" si="20"/>
        <v>8.6893999999999991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8.9036000000000008</v>
      </c>
      <c r="N70" s="31">
        <f t="shared" si="20"/>
        <v>8.729499999999998</v>
      </c>
      <c r="O70" s="322">
        <f t="shared" si="20"/>
        <v>8.4768000000000008</v>
      </c>
      <c r="P70" s="30">
        <f t="shared" si="20"/>
        <v>9.0390999999999995</v>
      </c>
      <c r="Q70" s="31">
        <f t="shared" si="20"/>
        <v>8.9552000000000014</v>
      </c>
      <c r="R70" s="31">
        <f t="shared" si="20"/>
        <v>8.7294</v>
      </c>
      <c r="S70" s="31">
        <f t="shared" si="20"/>
        <v>2.5895000000000001</v>
      </c>
      <c r="T70" s="31">
        <f t="shared" si="20"/>
        <v>9.1720000000000006</v>
      </c>
      <c r="U70" s="31">
        <f t="shared" si="20"/>
        <v>8.9552000000000014</v>
      </c>
      <c r="V70" s="32">
        <f t="shared" si="20"/>
        <v>8.569700000000001</v>
      </c>
      <c r="W70" s="362">
        <f>((W67*1000)/7)/W69</f>
        <v>65.54465942221043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58.905000000000001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60.448500000000003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65.454545454545453</v>
      </c>
      <c r="C72" s="38">
        <f t="shared" ref="C72:V72" si="22">+(C67/C69)/7*1000</f>
        <v>65.454545454545453</v>
      </c>
      <c r="D72" s="38">
        <f t="shared" si="22"/>
        <v>65.816326530612244</v>
      </c>
      <c r="E72" s="38">
        <f t="shared" si="22"/>
        <v>65.546218487394967</v>
      </c>
      <c r="F72" s="38">
        <f t="shared" si="22"/>
        <v>65.079365079365076</v>
      </c>
      <c r="G72" s="38">
        <f t="shared" si="22"/>
        <v>66.233766233766232</v>
      </c>
      <c r="H72" s="158">
        <f t="shared" si="22"/>
        <v>66.233766233766232</v>
      </c>
      <c r="I72" s="37">
        <f t="shared" si="22"/>
        <v>65.024630541871929</v>
      </c>
      <c r="J72" s="38">
        <f t="shared" si="22"/>
        <v>66.165413533834595</v>
      </c>
      <c r="K72" s="38">
        <f t="shared" si="22"/>
        <v>65.375302663438262</v>
      </c>
      <c r="L72" s="38">
        <f t="shared" si="22"/>
        <v>66.666666666666657</v>
      </c>
      <c r="M72" s="38">
        <f t="shared" si="22"/>
        <v>65.024630541871929</v>
      </c>
      <c r="N72" s="38">
        <f t="shared" si="22"/>
        <v>64.661654135338338</v>
      </c>
      <c r="O72" s="39">
        <f t="shared" si="22"/>
        <v>65.306122448979593</v>
      </c>
      <c r="P72" s="37">
        <f t="shared" si="22"/>
        <v>66.101694915254242</v>
      </c>
      <c r="Q72" s="38">
        <f t="shared" si="22"/>
        <v>65.375302663438262</v>
      </c>
      <c r="R72" s="38">
        <f t="shared" si="22"/>
        <v>65.41353383458646</v>
      </c>
      <c r="S72" s="38">
        <f t="shared" si="22"/>
        <v>65.546218487394967</v>
      </c>
      <c r="T72" s="38">
        <f t="shared" si="22"/>
        <v>65.714285714285708</v>
      </c>
      <c r="U72" s="38">
        <f t="shared" si="22"/>
        <v>65.375302663438262</v>
      </c>
      <c r="V72" s="39">
        <f t="shared" si="22"/>
        <v>65.664160401002505</v>
      </c>
      <c r="W72" s="40"/>
    </row>
    <row r="73" spans="1:26" ht="33.75" customHeight="1" x14ac:dyDescent="0.25">
      <c r="A73" s="41"/>
      <c r="B73" s="42">
        <f>B71-B67</f>
        <v>33.704999999999998</v>
      </c>
      <c r="C73" s="42">
        <f t="shared" ref="C73:V74" si="23">C71-C67</f>
        <v>33.897499999999994</v>
      </c>
      <c r="D73" s="42">
        <f t="shared" si="23"/>
        <v>34.372</v>
      </c>
      <c r="E73" s="42">
        <f t="shared" si="23"/>
        <v>10.288</v>
      </c>
      <c r="F73" s="42">
        <f t="shared" si="23"/>
        <v>33.045000000000002</v>
      </c>
      <c r="G73" s="42">
        <f t="shared" si="23"/>
        <v>33.597499999999997</v>
      </c>
      <c r="H73" s="42">
        <f t="shared" si="23"/>
        <v>33.405000000000001</v>
      </c>
      <c r="I73" s="42">
        <f t="shared" si="23"/>
        <v>35.108999999999995</v>
      </c>
      <c r="J73" s="42">
        <f t="shared" si="23"/>
        <v>34.646999999999991</v>
      </c>
      <c r="K73" s="42">
        <f t="shared" si="23"/>
        <v>36.189</v>
      </c>
      <c r="L73" s="42">
        <f t="shared" si="23"/>
        <v>10.878</v>
      </c>
      <c r="M73" s="42">
        <f t="shared" si="23"/>
        <v>35.718000000000004</v>
      </c>
      <c r="N73" s="42">
        <f t="shared" si="23"/>
        <v>35.047499999999999</v>
      </c>
      <c r="O73" s="42">
        <f t="shared" si="23"/>
        <v>33.984000000000002</v>
      </c>
      <c r="P73" s="42">
        <f t="shared" si="23"/>
        <v>36.095500000000001</v>
      </c>
      <c r="Q73" s="42">
        <f t="shared" si="23"/>
        <v>35.776000000000003</v>
      </c>
      <c r="R73" s="42">
        <f t="shared" si="23"/>
        <v>34.947000000000003</v>
      </c>
      <c r="S73" s="42">
        <f t="shared" si="23"/>
        <v>10.3475</v>
      </c>
      <c r="T73" s="42">
        <f t="shared" si="23"/>
        <v>36.660000000000011</v>
      </c>
      <c r="U73" s="42">
        <f t="shared" si="23"/>
        <v>35.776000000000003</v>
      </c>
      <c r="V73" s="42">
        <f t="shared" si="23"/>
        <v>34.2485</v>
      </c>
      <c r="W73" s="42"/>
      <c r="X73" s="42"/>
    </row>
    <row r="74" spans="1:26" ht="33.75" customHeight="1" x14ac:dyDescent="0.25">
      <c r="A74" s="41"/>
      <c r="B74" s="42">
        <f>B72-B68</f>
        <v>-87.545454545454547</v>
      </c>
      <c r="C74" s="42">
        <f t="shared" si="23"/>
        <v>-88.045454545454547</v>
      </c>
      <c r="D74" s="42">
        <f t="shared" si="23"/>
        <v>-87.683673469387756</v>
      </c>
      <c r="E74" s="42">
        <f t="shared" si="23"/>
        <v>-86.453781512605033</v>
      </c>
      <c r="F74" s="42">
        <f t="shared" si="23"/>
        <v>-87.420634920634924</v>
      </c>
      <c r="G74" s="42">
        <f t="shared" si="23"/>
        <v>-87.266233766233768</v>
      </c>
      <c r="H74" s="42">
        <f t="shared" si="23"/>
        <v>-86.766233766233768</v>
      </c>
      <c r="I74" s="42">
        <f t="shared" si="23"/>
        <v>-86.475369458128071</v>
      </c>
      <c r="J74" s="42">
        <f t="shared" si="23"/>
        <v>-86.834586466165405</v>
      </c>
      <c r="K74" s="42">
        <f t="shared" si="23"/>
        <v>-87.624697336561738</v>
      </c>
      <c r="L74" s="42">
        <f t="shared" si="23"/>
        <v>-86.333333333333343</v>
      </c>
      <c r="M74" s="42">
        <f t="shared" si="23"/>
        <v>-87.975369458128071</v>
      </c>
      <c r="N74" s="42">
        <f t="shared" si="23"/>
        <v>-87.838345864661662</v>
      </c>
      <c r="O74" s="42">
        <f t="shared" si="23"/>
        <v>-86.693877551020407</v>
      </c>
      <c r="P74" s="42">
        <f t="shared" si="23"/>
        <v>-87.398305084745758</v>
      </c>
      <c r="Q74" s="42">
        <f>Q72-Q68</f>
        <v>-86.624697336561738</v>
      </c>
      <c r="R74" s="42">
        <f t="shared" si="23"/>
        <v>-87.58646616541354</v>
      </c>
      <c r="S74" s="42">
        <f t="shared" si="23"/>
        <v>-86.953781512605033</v>
      </c>
      <c r="T74" s="42">
        <f t="shared" si="23"/>
        <v>-87.285714285714292</v>
      </c>
      <c r="U74" s="42">
        <f t="shared" si="23"/>
        <v>-86.624697336561738</v>
      </c>
      <c r="V74" s="42">
        <f t="shared" si="23"/>
        <v>-85.835839598997495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B54:D54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45"/>
  <dimension ref="A1:AE244"/>
  <sheetViews>
    <sheetView topLeftCell="A40" zoomScale="30" zoomScaleNormal="30" workbookViewId="0">
      <selection activeCell="B77" sqref="B77:V7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30</v>
      </c>
      <c r="Q11" s="1022"/>
      <c r="R11" s="6"/>
      <c r="S11" s="1" t="s">
        <v>6</v>
      </c>
      <c r="T11" s="95">
        <v>45582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382</v>
      </c>
      <c r="C25" s="120">
        <f>SUM(C18:C24)</f>
        <v>382.8</v>
      </c>
      <c r="D25" s="120">
        <f t="shared" ref="D25:V25" si="1">SUM(D18:D24)</f>
        <v>377.8</v>
      </c>
      <c r="E25" s="120">
        <f t="shared" si="1"/>
        <v>118.8</v>
      </c>
      <c r="F25" s="120">
        <f t="shared" si="1"/>
        <v>386</v>
      </c>
      <c r="G25" s="120">
        <f t="shared" si="1"/>
        <v>382.6</v>
      </c>
      <c r="H25" s="121">
        <f t="shared" si="1"/>
        <v>383.09999999999997</v>
      </c>
      <c r="I25" s="122">
        <f t="shared" si="1"/>
        <v>401.6</v>
      </c>
      <c r="J25" s="120">
        <f t="shared" si="1"/>
        <v>394.4</v>
      </c>
      <c r="K25" s="120">
        <f t="shared" si="1"/>
        <v>396.7</v>
      </c>
      <c r="L25" s="120">
        <f t="shared" si="1"/>
        <v>118</v>
      </c>
      <c r="M25" s="120">
        <f t="shared" si="1"/>
        <v>402.4</v>
      </c>
      <c r="N25" s="120">
        <f t="shared" si="1"/>
        <v>402.4</v>
      </c>
      <c r="O25" s="121">
        <f t="shared" si="1"/>
        <v>391.6</v>
      </c>
      <c r="P25" s="122">
        <f t="shared" si="1"/>
        <v>401.19999999999993</v>
      </c>
      <c r="Q25" s="120">
        <f t="shared" si="1"/>
        <v>407.6</v>
      </c>
      <c r="R25" s="120">
        <f t="shared" si="1"/>
        <v>401.9</v>
      </c>
      <c r="S25" s="120">
        <f t="shared" si="1"/>
        <v>123.8</v>
      </c>
      <c r="T25" s="120">
        <f t="shared" si="1"/>
        <v>404.6</v>
      </c>
      <c r="U25" s="120">
        <f t="shared" si="1"/>
        <v>403</v>
      </c>
      <c r="V25" s="121">
        <f t="shared" si="1"/>
        <v>380</v>
      </c>
      <c r="W25" s="361">
        <f>SUM(W18:W24)</f>
        <v>7442.3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158.12</v>
      </c>
      <c r="W26" s="99">
        <f>((W25/W27)/7)*1000</f>
        <v>93.114881265170283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584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614</v>
      </c>
      <c r="P27" s="26">
        <v>616</v>
      </c>
      <c r="Q27" s="27">
        <v>622</v>
      </c>
      <c r="R27" s="27">
        <v>611</v>
      </c>
      <c r="S27" s="27">
        <v>188</v>
      </c>
      <c r="T27" s="27">
        <v>617</v>
      </c>
      <c r="U27" s="27">
        <v>615</v>
      </c>
      <c r="V27" s="28">
        <v>616</v>
      </c>
      <c r="W27" s="29">
        <f>SUM(B27:V27)</f>
        <v>11418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95.670880000000011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100.58547999999999</v>
      </c>
      <c r="P28" s="30">
        <f t="shared" si="2"/>
        <v>100.91312000000001</v>
      </c>
      <c r="Q28" s="31">
        <f t="shared" si="2"/>
        <v>101.89604</v>
      </c>
      <c r="R28" s="31">
        <f t="shared" si="2"/>
        <v>100.09402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97.401920000000004</v>
      </c>
      <c r="W28" s="362">
        <f>((W25*1000)/7)/W27</f>
        <v>93.114881265170283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669.69615999999996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704.09835999999996</v>
      </c>
      <c r="P29" s="281">
        <f t="shared" si="3"/>
        <v>706.39184</v>
      </c>
      <c r="Q29" s="282">
        <f t="shared" si="3"/>
        <v>713.27227999999991</v>
      </c>
      <c r="R29" s="282">
        <f t="shared" si="3"/>
        <v>700.65813999999989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681.8134399999999</v>
      </c>
      <c r="W29" s="36"/>
    </row>
    <row r="30" spans="1:31" ht="33.75" customHeight="1" thickBot="1" x14ac:dyDescent="0.3">
      <c r="A30" s="152" t="s">
        <v>15</v>
      </c>
      <c r="B30" s="37">
        <f>+(B25/B27)/7*1000</f>
        <v>93.604508698848321</v>
      </c>
      <c r="C30" s="38">
        <f t="shared" ref="C30:V30" si="4">+(C25/C27)/7*1000</f>
        <v>93.639921722113513</v>
      </c>
      <c r="D30" s="38">
        <f t="shared" si="4"/>
        <v>93.538004456548649</v>
      </c>
      <c r="E30" s="38">
        <f t="shared" si="4"/>
        <v>93.764798737174431</v>
      </c>
      <c r="F30" s="38">
        <f t="shared" si="4"/>
        <v>93.621149648314329</v>
      </c>
      <c r="G30" s="38">
        <f t="shared" si="4"/>
        <v>93.751531487380547</v>
      </c>
      <c r="H30" s="39">
        <f t="shared" si="4"/>
        <v>93.713307240704495</v>
      </c>
      <c r="I30" s="37">
        <f t="shared" si="4"/>
        <v>93.591237473782328</v>
      </c>
      <c r="J30" s="38">
        <f t="shared" si="4"/>
        <v>93.592785951589931</v>
      </c>
      <c r="K30" s="38">
        <f t="shared" si="4"/>
        <v>92.148664343786294</v>
      </c>
      <c r="L30" s="38">
        <f t="shared" si="4"/>
        <v>93.650793650793645</v>
      </c>
      <c r="M30" s="38">
        <f t="shared" si="4"/>
        <v>93.624941833410887</v>
      </c>
      <c r="N30" s="38">
        <f t="shared" si="4"/>
        <v>93.624941833410887</v>
      </c>
      <c r="O30" s="39">
        <f t="shared" si="4"/>
        <v>91.112145183806419</v>
      </c>
      <c r="P30" s="37">
        <f t="shared" si="4"/>
        <v>93.042671614100172</v>
      </c>
      <c r="Q30" s="38">
        <f t="shared" si="4"/>
        <v>93.61506660542031</v>
      </c>
      <c r="R30" s="38">
        <f t="shared" si="4"/>
        <v>93.967734393266312</v>
      </c>
      <c r="S30" s="38">
        <f t="shared" si="4"/>
        <v>94.072948328267486</v>
      </c>
      <c r="T30" s="38">
        <f t="shared" si="4"/>
        <v>93.679092382495952</v>
      </c>
      <c r="U30" s="38">
        <f t="shared" si="4"/>
        <v>93.61207897793264</v>
      </c>
      <c r="V30" s="39">
        <f t="shared" si="4"/>
        <v>88.126159554730989</v>
      </c>
      <c r="W30" s="40"/>
    </row>
    <row r="31" spans="1:31" ht="33.75" customHeight="1" x14ac:dyDescent="0.25">
      <c r="A31" s="41"/>
      <c r="B31" s="42">
        <f>B29-B25</f>
        <v>286.54941999999994</v>
      </c>
      <c r="C31" s="42">
        <f t="shared" ref="C31:V32" si="5">C29-C25</f>
        <v>286.89615999999995</v>
      </c>
      <c r="D31" s="42">
        <f t="shared" si="5"/>
        <v>283.86898000000002</v>
      </c>
      <c r="E31" s="42">
        <f t="shared" si="5"/>
        <v>88.759940000000014</v>
      </c>
      <c r="F31" s="42">
        <f t="shared" si="5"/>
        <v>289.42985999999996</v>
      </c>
      <c r="G31" s="42">
        <f t="shared" si="5"/>
        <v>285.94941999999992</v>
      </c>
      <c r="H31" s="42">
        <f t="shared" si="5"/>
        <v>286.59616</v>
      </c>
      <c r="I31" s="42">
        <f t="shared" si="5"/>
        <v>301.35161999999991</v>
      </c>
      <c r="J31" s="42">
        <f t="shared" si="5"/>
        <v>295.93748000000005</v>
      </c>
      <c r="K31" s="42">
        <f t="shared" si="5"/>
        <v>308.54509999999999</v>
      </c>
      <c r="L31" s="42">
        <f t="shared" si="5"/>
        <v>88.413199999999989</v>
      </c>
      <c r="M31" s="42">
        <f t="shared" si="5"/>
        <v>301.69835999999998</v>
      </c>
      <c r="N31" s="42">
        <f t="shared" si="5"/>
        <v>301.69835999999998</v>
      </c>
      <c r="O31" s="42">
        <f t="shared" si="5"/>
        <v>312.49835999999993</v>
      </c>
      <c r="P31" s="42">
        <f t="shared" si="5"/>
        <v>305.19184000000007</v>
      </c>
      <c r="Q31" s="42">
        <f t="shared" si="5"/>
        <v>305.67227999999989</v>
      </c>
      <c r="R31" s="42">
        <f t="shared" si="5"/>
        <v>298.75813999999991</v>
      </c>
      <c r="S31" s="42">
        <f t="shared" si="5"/>
        <v>91.787120000000002</v>
      </c>
      <c r="T31" s="42">
        <f t="shared" si="5"/>
        <v>302.93858</v>
      </c>
      <c r="U31" s="42">
        <f t="shared" si="5"/>
        <v>302.24509999999998</v>
      </c>
      <c r="V31" s="42">
        <f t="shared" si="5"/>
        <v>301.8134399999999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-70.215491301151673</v>
      </c>
      <c r="C32" s="42">
        <f t="shared" si="5"/>
        <v>-70.18007827788648</v>
      </c>
      <c r="D32" s="42">
        <f t="shared" si="5"/>
        <v>-70.281995543451345</v>
      </c>
      <c r="E32" s="42">
        <f t="shared" si="5"/>
        <v>-70.055201262825562</v>
      </c>
      <c r="F32" s="42">
        <f t="shared" si="5"/>
        <v>-70.198850351685664</v>
      </c>
      <c r="G32" s="42">
        <f t="shared" si="5"/>
        <v>-70.068468512619447</v>
      </c>
      <c r="H32" s="42">
        <f t="shared" si="5"/>
        <v>-70.106692759295498</v>
      </c>
      <c r="I32" s="42">
        <f t="shared" si="5"/>
        <v>-70.228762526217665</v>
      </c>
      <c r="J32" s="42">
        <f t="shared" si="5"/>
        <v>-70.227214048410062</v>
      </c>
      <c r="K32" s="42">
        <f t="shared" si="5"/>
        <v>-71.671335656213699</v>
      </c>
      <c r="L32" s="42">
        <f t="shared" si="5"/>
        <v>-70.169206349206348</v>
      </c>
      <c r="M32" s="42">
        <f t="shared" si="5"/>
        <v>-70.195058166589106</v>
      </c>
      <c r="N32" s="42">
        <f t="shared" si="5"/>
        <v>-70.195058166589106</v>
      </c>
      <c r="O32" s="42">
        <f t="shared" si="5"/>
        <v>-72.707854816193574</v>
      </c>
      <c r="P32" s="42">
        <f t="shared" si="5"/>
        <v>-70.777328385899821</v>
      </c>
      <c r="Q32" s="42">
        <f>Q30-Q26</f>
        <v>-70.204933394579683</v>
      </c>
      <c r="R32" s="42">
        <f t="shared" si="5"/>
        <v>-69.852265606733681</v>
      </c>
      <c r="S32" s="42">
        <f t="shared" si="5"/>
        <v>-69.747051671732507</v>
      </c>
      <c r="T32" s="42">
        <f t="shared" si="5"/>
        <v>-70.140907617504041</v>
      </c>
      <c r="U32" s="42">
        <f t="shared" si="5"/>
        <v>-70.207921022067353</v>
      </c>
      <c r="V32" s="42">
        <f t="shared" si="5"/>
        <v>-69.993840445269015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7.2</v>
      </c>
      <c r="P41" s="19">
        <v>8</v>
      </c>
      <c r="Q41" s="19">
        <v>1.1000000000000001</v>
      </c>
      <c r="R41" s="19">
        <v>7.1</v>
      </c>
      <c r="S41" s="19">
        <v>7.8</v>
      </c>
      <c r="T41" s="19">
        <v>8.3000000000000007</v>
      </c>
      <c r="U41" s="264">
        <f t="shared" si="7"/>
        <v>39.5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7.2</v>
      </c>
      <c r="P42" s="19">
        <v>8</v>
      </c>
      <c r="Q42" s="19">
        <v>1.1000000000000001</v>
      </c>
      <c r="R42" s="19">
        <v>7.1</v>
      </c>
      <c r="S42" s="19">
        <v>7.6</v>
      </c>
      <c r="T42" s="19">
        <v>8.3000000000000007</v>
      </c>
      <c r="U42" s="264">
        <f t="shared" si="7"/>
        <v>39.299999999999997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>
        <v>7.2</v>
      </c>
      <c r="P43" s="19">
        <v>8</v>
      </c>
      <c r="Q43" s="19">
        <v>1.1000000000000001</v>
      </c>
      <c r="R43" s="19">
        <v>7.1</v>
      </c>
      <c r="S43" s="19">
        <v>7.6</v>
      </c>
      <c r="T43" s="19">
        <v>8.3000000000000007</v>
      </c>
      <c r="U43" s="264">
        <f t="shared" si="7"/>
        <v>39.299999999999997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7.2</v>
      </c>
      <c r="P44" s="19">
        <v>8</v>
      </c>
      <c r="Q44" s="19">
        <v>1.1000000000000001</v>
      </c>
      <c r="R44" s="19">
        <v>7.1</v>
      </c>
      <c r="S44" s="19">
        <v>7.6</v>
      </c>
      <c r="T44" s="19">
        <v>8.3000000000000007</v>
      </c>
      <c r="U44" s="264">
        <f t="shared" si="7"/>
        <v>39.299999999999997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7.2</v>
      </c>
      <c r="P45" s="19">
        <v>8</v>
      </c>
      <c r="Q45" s="19">
        <v>1.1000000000000001</v>
      </c>
      <c r="R45" s="19">
        <v>7.1</v>
      </c>
      <c r="S45" s="19">
        <v>7.6</v>
      </c>
      <c r="T45" s="19">
        <v>8.3000000000000007</v>
      </c>
      <c r="U45" s="264">
        <f t="shared" si="7"/>
        <v>39.299999999999997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454.30000000000007</v>
      </c>
      <c r="C46" s="120">
        <f t="shared" si="8"/>
        <v>456.5</v>
      </c>
      <c r="D46" s="120">
        <f t="shared" si="8"/>
        <v>132</v>
      </c>
      <c r="E46" s="120">
        <f t="shared" si="8"/>
        <v>463.70000000000005</v>
      </c>
      <c r="F46" s="120">
        <f t="shared" si="8"/>
        <v>464.1</v>
      </c>
      <c r="G46" s="121">
        <f t="shared" si="8"/>
        <v>462.5</v>
      </c>
      <c r="H46" s="275">
        <f t="shared" si="6"/>
        <v>2433.1000000000004</v>
      </c>
      <c r="I46" s="49"/>
      <c r="J46" s="42"/>
      <c r="K46" s="42"/>
      <c r="L46" s="42"/>
      <c r="N46" s="145" t="s">
        <v>9</v>
      </c>
      <c r="O46" s="122">
        <f t="shared" ref="O46:T46" si="9">SUM(O39:O45)</f>
        <v>50.500000000000007</v>
      </c>
      <c r="P46" s="120">
        <f t="shared" si="9"/>
        <v>56</v>
      </c>
      <c r="Q46" s="120">
        <f t="shared" si="9"/>
        <v>8.1999999999999993</v>
      </c>
      <c r="R46" s="120">
        <f t="shared" si="9"/>
        <v>49.900000000000006</v>
      </c>
      <c r="S46" s="120">
        <f t="shared" si="9"/>
        <v>53.6</v>
      </c>
      <c r="T46" s="120">
        <f t="shared" si="9"/>
        <v>57.899999999999991</v>
      </c>
      <c r="U46" s="326">
        <f t="shared" si="7"/>
        <v>276.10000000000002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150.9</v>
      </c>
      <c r="D47" s="520">
        <v>150.9</v>
      </c>
      <c r="E47" s="24">
        <v>154.13</v>
      </c>
      <c r="F47" s="24">
        <v>154.13</v>
      </c>
      <c r="G47" s="25">
        <v>149.91999999999999</v>
      </c>
      <c r="H47" s="128">
        <f>+((H46/H48)/7)*1000</f>
        <v>106.58868883339908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148.84097035040435</v>
      </c>
      <c r="V47" s="50"/>
    </row>
    <row r="48" spans="1:31" ht="33.75" customHeight="1" x14ac:dyDescent="0.25">
      <c r="A48" s="149" t="s">
        <v>12</v>
      </c>
      <c r="B48" s="26">
        <v>607</v>
      </c>
      <c r="C48" s="27">
        <v>614</v>
      </c>
      <c r="D48" s="27">
        <v>175</v>
      </c>
      <c r="E48" s="27">
        <v>620</v>
      </c>
      <c r="F48" s="27">
        <v>619</v>
      </c>
      <c r="G48" s="28">
        <v>626</v>
      </c>
      <c r="H48" s="129">
        <f>SUM(B48:G48)</f>
        <v>3261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51</v>
      </c>
      <c r="T48" s="278">
        <v>55</v>
      </c>
      <c r="U48" s="235">
        <f>SUM(O48:T48)</f>
        <v>265</v>
      </c>
      <c r="V48" s="52"/>
    </row>
    <row r="49" spans="1:30" ht="33.75" customHeight="1" x14ac:dyDescent="0.25">
      <c r="A49" s="150" t="s">
        <v>13</v>
      </c>
      <c r="B49" s="30">
        <f>(B48*B47)/1000</f>
        <v>91.996920000000003</v>
      </c>
      <c r="C49" s="31">
        <f t="shared" ref="C49:G49" si="10">(C48*C47)/1000</f>
        <v>92.652600000000007</v>
      </c>
      <c r="D49" s="31">
        <f t="shared" si="10"/>
        <v>26.407499999999999</v>
      </c>
      <c r="E49" s="31">
        <f t="shared" si="10"/>
        <v>95.560599999999994</v>
      </c>
      <c r="F49" s="31">
        <f t="shared" si="10"/>
        <v>95.406469999999999</v>
      </c>
      <c r="G49" s="32">
        <f t="shared" si="10"/>
        <v>93.849919999999997</v>
      </c>
      <c r="H49" s="130">
        <f>((H46*1000)/H48)/7</f>
        <v>106.58868883339906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7.1841999999999997</v>
      </c>
      <c r="P49" s="31">
        <f t="shared" si="11"/>
        <v>8.0266000000000002</v>
      </c>
      <c r="Q49" s="31">
        <f t="shared" si="11"/>
        <v>1.1287999999999998</v>
      </c>
      <c r="R49" s="31">
        <f t="shared" si="11"/>
        <v>7.1328000000000005</v>
      </c>
      <c r="S49" s="31">
        <f t="shared" si="11"/>
        <v>7.5942999999999996</v>
      </c>
      <c r="T49" s="31">
        <f t="shared" si="11"/>
        <v>8.27</v>
      </c>
      <c r="U49" s="253">
        <f>((U46*1000)/U48)/7</f>
        <v>148.84097035040432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643.97843999999998</v>
      </c>
      <c r="C50" s="282">
        <f t="shared" si="12"/>
        <v>648.56820000000005</v>
      </c>
      <c r="D50" s="282">
        <f t="shared" si="12"/>
        <v>184.85249999999999</v>
      </c>
      <c r="E50" s="282">
        <f t="shared" si="12"/>
        <v>668.92419999999993</v>
      </c>
      <c r="F50" s="282">
        <f t="shared" si="12"/>
        <v>667.84529000000009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50.420999999999999</v>
      </c>
      <c r="P50" s="282">
        <f t="shared" si="13"/>
        <v>56.133000000000003</v>
      </c>
      <c r="Q50" s="282">
        <f t="shared" si="13"/>
        <v>8.3439999999999994</v>
      </c>
      <c r="R50" s="282">
        <f t="shared" si="13"/>
        <v>50.064</v>
      </c>
      <c r="S50" s="282">
        <f t="shared" si="13"/>
        <v>53.371499999999997</v>
      </c>
      <c r="T50" s="282">
        <f t="shared" si="13"/>
        <v>57.75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106.91927512355849</v>
      </c>
      <c r="C51" s="38">
        <f t="shared" si="14"/>
        <v>106.21219171707772</v>
      </c>
      <c r="D51" s="38">
        <f t="shared" si="14"/>
        <v>107.75510204081633</v>
      </c>
      <c r="E51" s="38">
        <f t="shared" si="14"/>
        <v>106.84331797235023</v>
      </c>
      <c r="F51" s="38">
        <f t="shared" si="14"/>
        <v>107.10823909531504</v>
      </c>
      <c r="G51" s="39">
        <f t="shared" si="14"/>
        <v>105.54541305340028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147.23032069970847</v>
      </c>
      <c r="P51" s="38">
        <f t="shared" si="15"/>
        <v>148.14814814814815</v>
      </c>
      <c r="Q51" s="38">
        <f t="shared" si="15"/>
        <v>146.42857142857142</v>
      </c>
      <c r="R51" s="38">
        <f t="shared" si="15"/>
        <v>148.51190476190479</v>
      </c>
      <c r="S51" s="38">
        <f t="shared" si="15"/>
        <v>150.14005602240897</v>
      </c>
      <c r="T51" s="38">
        <f t="shared" si="15"/>
        <v>150.38961038961034</v>
      </c>
      <c r="U51" s="255"/>
      <c r="V51" s="42"/>
    </row>
    <row r="52" spans="1:30" ht="33.75" customHeight="1" x14ac:dyDescent="0.25">
      <c r="A52" s="41"/>
      <c r="B52" s="42">
        <f>B50-B46</f>
        <v>189.67843999999991</v>
      </c>
      <c r="C52" s="42">
        <f t="shared" ref="C52:G53" si="16">C50-C46</f>
        <v>192.06820000000005</v>
      </c>
      <c r="D52" s="42">
        <f t="shared" si="16"/>
        <v>52.852499999999992</v>
      </c>
      <c r="E52" s="42">
        <f t="shared" si="16"/>
        <v>205.22419999999988</v>
      </c>
      <c r="F52" s="42">
        <f t="shared" si="16"/>
        <v>203.74529000000007</v>
      </c>
      <c r="G52" s="42">
        <f t="shared" si="16"/>
        <v>194.44943999999998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-7.9000000000007731E-2</v>
      </c>
      <c r="P52" s="42">
        <f t="shared" si="17"/>
        <v>0.13300000000000267</v>
      </c>
      <c r="Q52" s="42">
        <f t="shared" si="17"/>
        <v>0.14400000000000013</v>
      </c>
      <c r="R52" s="42">
        <f t="shared" si="17"/>
        <v>0.16399999999999437</v>
      </c>
      <c r="S52" s="42">
        <f t="shared" si="17"/>
        <v>-0.22850000000000392</v>
      </c>
      <c r="T52" s="42">
        <f t="shared" si="17"/>
        <v>-0.14999999999999147</v>
      </c>
    </row>
    <row r="53" spans="1:30" ht="33.75" customHeight="1" x14ac:dyDescent="0.25">
      <c r="A53" s="41"/>
      <c r="B53" s="42">
        <f>B51-B47</f>
        <v>-44.64072487644151</v>
      </c>
      <c r="C53" s="42">
        <f t="shared" si="16"/>
        <v>-44.68780828292229</v>
      </c>
      <c r="D53" s="42">
        <f t="shared" si="16"/>
        <v>-43.14489795918368</v>
      </c>
      <c r="E53" s="42">
        <f t="shared" si="16"/>
        <v>-47.286682027649761</v>
      </c>
      <c r="F53" s="42">
        <f t="shared" si="16"/>
        <v>-47.021760904684953</v>
      </c>
      <c r="G53" s="42">
        <f t="shared" si="16"/>
        <v>-44.374586946599706</v>
      </c>
      <c r="I53" s="2"/>
      <c r="J53" s="2"/>
      <c r="K53" s="45"/>
      <c r="L53" s="41"/>
      <c r="M53" s="42"/>
      <c r="N53" s="42"/>
      <c r="O53" s="42">
        <f t="shared" si="17"/>
        <v>0.23032069970847147</v>
      </c>
      <c r="P53" s="42">
        <f t="shared" si="17"/>
        <v>-0.35185185185184764</v>
      </c>
      <c r="Q53" s="42">
        <f t="shared" si="17"/>
        <v>-2.5714285714285836</v>
      </c>
      <c r="R53" s="42">
        <f t="shared" si="17"/>
        <v>-0.48809523809521238</v>
      </c>
      <c r="S53" s="42">
        <f t="shared" si="17"/>
        <v>0.64005602240897019</v>
      </c>
      <c r="T53" s="42">
        <f t="shared" si="17"/>
        <v>0.38961038961033978</v>
      </c>
      <c r="W53" s="3"/>
    </row>
    <row r="54" spans="1:30" ht="33.75" customHeight="1" x14ac:dyDescent="0.25">
      <c r="A54" s="41"/>
      <c r="B54" s="1050" t="s">
        <v>115</v>
      </c>
      <c r="C54" s="1050"/>
      <c r="D54" s="1050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f>O39/O48</f>
        <v>0.15306122448979592</v>
      </c>
      <c r="P55" s="42">
        <f t="shared" ref="P55:T55" si="18">P39/P48</f>
        <v>0.14814814814814814</v>
      </c>
      <c r="Q55" s="42">
        <f t="shared" si="18"/>
        <v>0.17499999999999999</v>
      </c>
      <c r="R55" s="42">
        <f t="shared" si="18"/>
        <v>0.15416666666666667</v>
      </c>
      <c r="S55" s="42">
        <f t="shared" si="18"/>
        <v>0.15098039215686274</v>
      </c>
      <c r="T55" s="42">
        <f t="shared" si="18"/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8"/>
      <c r="P56" s="1018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9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8.6999999999999993</v>
      </c>
      <c r="Q61" s="282">
        <v>8.6</v>
      </c>
      <c r="R61" s="282">
        <v>8.6999999999999993</v>
      </c>
      <c r="S61" s="282">
        <v>2.2000000000000002</v>
      </c>
      <c r="T61" s="282">
        <v>8.5</v>
      </c>
      <c r="U61" s="282">
        <v>8.6</v>
      </c>
      <c r="V61" s="283">
        <v>8.6</v>
      </c>
      <c r="W61" s="264">
        <f t="shared" si="19"/>
        <v>162.39999999999998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8.5</v>
      </c>
      <c r="C62" s="19">
        <v>8.5</v>
      </c>
      <c r="D62" s="19">
        <v>8.6999999999999993</v>
      </c>
      <c r="E62" s="19">
        <v>2.6</v>
      </c>
      <c r="F62" s="19">
        <v>8.4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9.1</v>
      </c>
      <c r="L62" s="267">
        <v>2.8</v>
      </c>
      <c r="M62" s="267">
        <v>9</v>
      </c>
      <c r="N62" s="19">
        <v>8.8000000000000007</v>
      </c>
      <c r="O62" s="474">
        <v>8.6</v>
      </c>
      <c r="P62" s="281">
        <v>8.8000000000000007</v>
      </c>
      <c r="Q62" s="282">
        <v>8.8000000000000007</v>
      </c>
      <c r="R62" s="282">
        <v>8.9</v>
      </c>
      <c r="S62" s="282">
        <v>2.2999999999999998</v>
      </c>
      <c r="T62" s="282">
        <v>8.5</v>
      </c>
      <c r="U62" s="282">
        <v>8.8000000000000007</v>
      </c>
      <c r="V62" s="283">
        <v>8.6999999999999993</v>
      </c>
      <c r="W62" s="264">
        <f t="shared" si="19"/>
        <v>164.5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8.5</v>
      </c>
      <c r="C63" s="19">
        <v>8.5</v>
      </c>
      <c r="D63" s="19">
        <v>8.6999999999999993</v>
      </c>
      <c r="E63" s="19">
        <v>2.6</v>
      </c>
      <c r="F63" s="19">
        <v>8.4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9.1</v>
      </c>
      <c r="L63" s="267">
        <v>2.8</v>
      </c>
      <c r="M63" s="267">
        <v>9</v>
      </c>
      <c r="N63" s="19">
        <v>8.6</v>
      </c>
      <c r="O63" s="474">
        <v>8.6</v>
      </c>
      <c r="P63" s="281">
        <v>8.8000000000000007</v>
      </c>
      <c r="Q63" s="282">
        <v>8.8000000000000007</v>
      </c>
      <c r="R63" s="282">
        <v>8.9</v>
      </c>
      <c r="S63" s="282">
        <v>2.2999999999999998</v>
      </c>
      <c r="T63" s="282">
        <v>8.5</v>
      </c>
      <c r="U63" s="282">
        <v>8.8000000000000007</v>
      </c>
      <c r="V63" s="283">
        <v>8.6999999999999993</v>
      </c>
      <c r="W63" s="264">
        <f t="shared" si="19"/>
        <v>164.29999999999998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8.5</v>
      </c>
      <c r="C64" s="19">
        <v>8.5</v>
      </c>
      <c r="D64" s="19">
        <v>8.6999999999999993</v>
      </c>
      <c r="E64" s="19">
        <v>2.6</v>
      </c>
      <c r="F64" s="19">
        <v>8.4</v>
      </c>
      <c r="G64" s="19">
        <v>8.5</v>
      </c>
      <c r="H64" s="104">
        <v>8.5</v>
      </c>
      <c r="I64" s="18">
        <v>8.9</v>
      </c>
      <c r="J64" s="19">
        <v>8.8000000000000007</v>
      </c>
      <c r="K64" s="19">
        <v>9.1</v>
      </c>
      <c r="L64" s="267">
        <v>2.8</v>
      </c>
      <c r="M64" s="267">
        <v>9</v>
      </c>
      <c r="N64" s="19">
        <v>8.6</v>
      </c>
      <c r="O64" s="474">
        <v>8.6</v>
      </c>
      <c r="P64" s="281">
        <v>8.8000000000000007</v>
      </c>
      <c r="Q64" s="282">
        <v>8.8000000000000007</v>
      </c>
      <c r="R64" s="282">
        <v>8.9</v>
      </c>
      <c r="S64" s="282">
        <v>2.2999999999999998</v>
      </c>
      <c r="T64" s="282">
        <v>8.5</v>
      </c>
      <c r="U64" s="282">
        <v>8.8000000000000007</v>
      </c>
      <c r="V64" s="283">
        <v>8.6999999999999993</v>
      </c>
      <c r="W64" s="264">
        <f t="shared" si="19"/>
        <v>164.29999999999998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8.5</v>
      </c>
      <c r="C65" s="19">
        <v>8.5</v>
      </c>
      <c r="D65" s="19">
        <v>8.6999999999999993</v>
      </c>
      <c r="E65" s="19">
        <v>2.6</v>
      </c>
      <c r="F65" s="19">
        <v>8.4</v>
      </c>
      <c r="G65" s="19">
        <v>8.5</v>
      </c>
      <c r="H65" s="104">
        <v>8.5</v>
      </c>
      <c r="I65" s="18">
        <v>8.9</v>
      </c>
      <c r="J65" s="19">
        <v>8.8000000000000007</v>
      </c>
      <c r="K65" s="19">
        <v>9.1</v>
      </c>
      <c r="L65" s="267">
        <v>2.8</v>
      </c>
      <c r="M65" s="267">
        <v>9</v>
      </c>
      <c r="N65" s="19">
        <v>8.6</v>
      </c>
      <c r="O65" s="474">
        <v>8.6</v>
      </c>
      <c r="P65" s="281">
        <v>8.8000000000000007</v>
      </c>
      <c r="Q65" s="282">
        <v>8.8000000000000007</v>
      </c>
      <c r="R65" s="282">
        <v>8.9</v>
      </c>
      <c r="S65" s="282">
        <v>2.2999999999999998</v>
      </c>
      <c r="T65" s="282">
        <v>8.5</v>
      </c>
      <c r="U65" s="282">
        <v>8.8000000000000007</v>
      </c>
      <c r="V65" s="283">
        <v>8.6999999999999993</v>
      </c>
      <c r="W65" s="264">
        <f t="shared" si="19"/>
        <v>164.29999999999998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8.5</v>
      </c>
      <c r="C66" s="19">
        <v>8.5</v>
      </c>
      <c r="D66" s="19">
        <v>8.6999999999999993</v>
      </c>
      <c r="E66" s="19">
        <v>2.6</v>
      </c>
      <c r="F66" s="19">
        <v>8.4</v>
      </c>
      <c r="G66" s="19">
        <v>8.5</v>
      </c>
      <c r="H66" s="104">
        <v>8.5</v>
      </c>
      <c r="I66" s="18">
        <v>8.9</v>
      </c>
      <c r="J66" s="19">
        <v>8.8000000000000007</v>
      </c>
      <c r="K66" s="19">
        <v>9.1</v>
      </c>
      <c r="L66" s="267">
        <v>2.8</v>
      </c>
      <c r="M66" s="267">
        <v>9</v>
      </c>
      <c r="N66" s="19">
        <v>8.6</v>
      </c>
      <c r="O66" s="474">
        <v>8.6</v>
      </c>
      <c r="P66" s="281">
        <v>8.8000000000000007</v>
      </c>
      <c r="Q66" s="282">
        <v>8.8000000000000007</v>
      </c>
      <c r="R66" s="282">
        <v>8.9</v>
      </c>
      <c r="S66" s="282">
        <v>2.2999999999999998</v>
      </c>
      <c r="T66" s="282">
        <v>8.5</v>
      </c>
      <c r="U66" s="282">
        <v>8.8000000000000007</v>
      </c>
      <c r="V66" s="283">
        <v>8.6999999999999993</v>
      </c>
      <c r="W66" s="265">
        <f t="shared" si="19"/>
        <v>164.29999999999998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59.3</v>
      </c>
      <c r="C67" s="120">
        <f>SUM(C60:C66)</f>
        <v>59.3</v>
      </c>
      <c r="D67" s="120">
        <f t="shared" ref="D67:V67" si="20">SUM(D60:D66)</f>
        <v>60.7</v>
      </c>
      <c r="E67" s="120">
        <f t="shared" si="20"/>
        <v>18.2</v>
      </c>
      <c r="F67" s="120">
        <f t="shared" si="20"/>
        <v>58.399999999999991</v>
      </c>
      <c r="G67" s="120">
        <f t="shared" si="20"/>
        <v>59.5</v>
      </c>
      <c r="H67" s="268">
        <f t="shared" si="20"/>
        <v>59.7</v>
      </c>
      <c r="I67" s="122">
        <f t="shared" si="20"/>
        <v>62.099999999999994</v>
      </c>
      <c r="J67" s="120">
        <f t="shared" si="20"/>
        <v>61.599999999999994</v>
      </c>
      <c r="K67" s="120">
        <f t="shared" si="20"/>
        <v>63.500000000000007</v>
      </c>
      <c r="L67" s="120">
        <f t="shared" si="20"/>
        <v>19.600000000000001</v>
      </c>
      <c r="M67" s="120">
        <f t="shared" si="20"/>
        <v>62.6</v>
      </c>
      <c r="N67" s="120">
        <f t="shared" si="20"/>
        <v>60.400000000000006</v>
      </c>
      <c r="O67" s="121">
        <f t="shared" si="20"/>
        <v>60.20000000000001</v>
      </c>
      <c r="P67" s="122">
        <f t="shared" si="20"/>
        <v>61.8</v>
      </c>
      <c r="Q67" s="120">
        <f t="shared" si="20"/>
        <v>61.599999999999994</v>
      </c>
      <c r="R67" s="120">
        <f t="shared" si="20"/>
        <v>61.899999999999991</v>
      </c>
      <c r="S67" s="120">
        <f t="shared" si="20"/>
        <v>16.3</v>
      </c>
      <c r="T67" s="120">
        <f t="shared" si="20"/>
        <v>60.2</v>
      </c>
      <c r="U67" s="120">
        <f t="shared" si="20"/>
        <v>61.599999999999994</v>
      </c>
      <c r="V67" s="121">
        <f t="shared" si="20"/>
        <v>60.900000000000006</v>
      </c>
      <c r="W67" s="263">
        <f>SUM(W60:W66)</f>
        <v>1149.3999999999999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154.17840375586852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56</v>
      </c>
      <c r="O69" s="28">
        <v>56</v>
      </c>
      <c r="P69" s="26">
        <v>57</v>
      </c>
      <c r="Q69" s="27">
        <v>57</v>
      </c>
      <c r="R69" s="27">
        <v>57</v>
      </c>
      <c r="S69" s="27">
        <v>15</v>
      </c>
      <c r="T69" s="27">
        <v>56</v>
      </c>
      <c r="U69" s="27">
        <v>57</v>
      </c>
      <c r="V69" s="28">
        <v>57</v>
      </c>
      <c r="W69" s="29">
        <f>SUM(B69:V69)</f>
        <v>1065</v>
      </c>
    </row>
    <row r="70" spans="1:26" ht="33.75" customHeight="1" x14ac:dyDescent="0.25">
      <c r="A70" s="150" t="s">
        <v>13</v>
      </c>
      <c r="B70" s="358">
        <f>((((B68*7)*B69)/1000)-(B60+B61))/5</f>
        <v>8.4979999999999993</v>
      </c>
      <c r="C70" s="31">
        <f t="shared" ref="C70:V70" si="21">((((C68*7)*C69)/1000)-(C60+C61))/5</f>
        <v>8.5365000000000002</v>
      </c>
      <c r="D70" s="31">
        <f t="shared" si="21"/>
        <v>8.6728000000000005</v>
      </c>
      <c r="E70" s="31">
        <f t="shared" si="21"/>
        <v>2.6014000000000004</v>
      </c>
      <c r="F70" s="31">
        <f t="shared" si="21"/>
        <v>8.3624000000000009</v>
      </c>
      <c r="G70" s="31">
        <f t="shared" si="21"/>
        <v>8.5350000000000001</v>
      </c>
      <c r="H70" s="464">
        <f t="shared" si="21"/>
        <v>8.4565000000000001</v>
      </c>
      <c r="I70" s="358">
        <f t="shared" si="21"/>
        <v>8.8629999999999995</v>
      </c>
      <c r="J70" s="31">
        <f t="shared" si="21"/>
        <v>8.7691999999999997</v>
      </c>
      <c r="K70" s="31">
        <f t="shared" si="21"/>
        <v>9.1204000000000001</v>
      </c>
      <c r="L70" s="31">
        <f t="shared" si="21"/>
        <v>2.7608000000000001</v>
      </c>
      <c r="M70" s="31">
        <f t="shared" si="21"/>
        <v>8.9847999999999999</v>
      </c>
      <c r="N70" s="31">
        <f t="shared" si="21"/>
        <v>8.5943999999999985</v>
      </c>
      <c r="O70" s="322">
        <f t="shared" si="21"/>
        <v>8.5551999999999992</v>
      </c>
      <c r="P70" s="30">
        <f t="shared" si="21"/>
        <v>8.8489000000000004</v>
      </c>
      <c r="Q70" s="31">
        <f t="shared" si="21"/>
        <v>8.8490000000000002</v>
      </c>
      <c r="R70" s="31">
        <f t="shared" si="21"/>
        <v>8.8889999999999993</v>
      </c>
      <c r="S70" s="31">
        <f t="shared" si="21"/>
        <v>2.3054999999999999</v>
      </c>
      <c r="T70" s="31">
        <f t="shared" si="21"/>
        <v>8.5336000000000016</v>
      </c>
      <c r="U70" s="31">
        <f t="shared" si="21"/>
        <v>8.7691999999999997</v>
      </c>
      <c r="V70" s="32">
        <f t="shared" si="21"/>
        <v>8.6894999999999989</v>
      </c>
      <c r="W70" s="362">
        <f>((W67*1000)/7)/W69</f>
        <v>154.17840375586852</v>
      </c>
    </row>
    <row r="71" spans="1:26" ht="33.75" customHeight="1" x14ac:dyDescent="0.25">
      <c r="A71" s="151" t="s">
        <v>14</v>
      </c>
      <c r="B71" s="281">
        <f>((B69*B68)*7)/1000</f>
        <v>59.29</v>
      </c>
      <c r="C71" s="282">
        <f>((C69*C68)*7)/1000</f>
        <v>59.482500000000002</v>
      </c>
      <c r="D71" s="282">
        <f t="shared" ref="D71:V71" si="22">((D69*D68)*7)/1000</f>
        <v>60.564</v>
      </c>
      <c r="E71" s="282">
        <f t="shared" si="22"/>
        <v>18.207000000000001</v>
      </c>
      <c r="F71" s="282">
        <f t="shared" si="22"/>
        <v>58.212000000000003</v>
      </c>
      <c r="G71" s="282">
        <f t="shared" si="22"/>
        <v>59.674999999999997</v>
      </c>
      <c r="H71" s="283">
        <f t="shared" si="22"/>
        <v>59.482500000000002</v>
      </c>
      <c r="I71" s="281">
        <f t="shared" si="22"/>
        <v>61.914999999999999</v>
      </c>
      <c r="J71" s="282">
        <f t="shared" si="22"/>
        <v>61.445999999999998</v>
      </c>
      <c r="K71" s="282">
        <f t="shared" si="22"/>
        <v>63.601999999999997</v>
      </c>
      <c r="L71" s="282">
        <f t="shared" si="22"/>
        <v>19.404</v>
      </c>
      <c r="M71" s="282">
        <f t="shared" si="22"/>
        <v>62.524000000000001</v>
      </c>
      <c r="N71" s="282">
        <f t="shared" si="22"/>
        <v>60.171999999999997</v>
      </c>
      <c r="O71" s="284">
        <f t="shared" si="22"/>
        <v>59.975999999999999</v>
      </c>
      <c r="P71" s="281">
        <f t="shared" si="22"/>
        <v>62.044499999999999</v>
      </c>
      <c r="Q71" s="282">
        <f t="shared" si="22"/>
        <v>61.844999999999999</v>
      </c>
      <c r="R71" s="282">
        <f t="shared" si="22"/>
        <v>61.844999999999999</v>
      </c>
      <c r="S71" s="282">
        <f t="shared" si="22"/>
        <v>16.327500000000001</v>
      </c>
      <c r="T71" s="282">
        <f t="shared" si="22"/>
        <v>60.368000000000002</v>
      </c>
      <c r="U71" s="282">
        <f t="shared" si="22"/>
        <v>61.445999999999998</v>
      </c>
      <c r="V71" s="284">
        <f t="shared" si="22"/>
        <v>60.847499999999997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154.02597402597402</v>
      </c>
      <c r="C72" s="38">
        <f t="shared" ref="C72:V72" si="23">+(C67/C69)/7*1000</f>
        <v>154.02597402597402</v>
      </c>
      <c r="D72" s="38">
        <f t="shared" si="23"/>
        <v>154.84693877551024</v>
      </c>
      <c r="E72" s="38">
        <f t="shared" si="23"/>
        <v>152.94117647058823</v>
      </c>
      <c r="F72" s="38">
        <f t="shared" si="23"/>
        <v>154.49735449735448</v>
      </c>
      <c r="G72" s="38">
        <f t="shared" si="23"/>
        <v>154.54545454545453</v>
      </c>
      <c r="H72" s="158">
        <f t="shared" si="23"/>
        <v>155.06493506493507</v>
      </c>
      <c r="I72" s="37">
        <f t="shared" si="23"/>
        <v>152.95566502463052</v>
      </c>
      <c r="J72" s="38">
        <f t="shared" si="23"/>
        <v>154.38596491228068</v>
      </c>
      <c r="K72" s="38">
        <f t="shared" si="23"/>
        <v>153.75302663438256</v>
      </c>
      <c r="L72" s="38">
        <f t="shared" si="23"/>
        <v>155.5555555555556</v>
      </c>
      <c r="M72" s="38">
        <f t="shared" si="23"/>
        <v>154.18719211822659</v>
      </c>
      <c r="N72" s="38">
        <f t="shared" si="23"/>
        <v>154.08163265306123</v>
      </c>
      <c r="O72" s="39">
        <f t="shared" si="23"/>
        <v>153.57142857142861</v>
      </c>
      <c r="P72" s="37">
        <f t="shared" si="23"/>
        <v>154.8872180451128</v>
      </c>
      <c r="Q72" s="38">
        <f t="shared" si="23"/>
        <v>154.38596491228068</v>
      </c>
      <c r="R72" s="38">
        <f t="shared" si="23"/>
        <v>155.13784461152881</v>
      </c>
      <c r="S72" s="38">
        <f t="shared" si="23"/>
        <v>155.23809523809524</v>
      </c>
      <c r="T72" s="38">
        <f t="shared" si="23"/>
        <v>153.57142857142856</v>
      </c>
      <c r="U72" s="38">
        <f t="shared" si="23"/>
        <v>154.38596491228068</v>
      </c>
      <c r="V72" s="39">
        <f t="shared" si="23"/>
        <v>152.63157894736841</v>
      </c>
      <c r="W72" s="40"/>
    </row>
    <row r="73" spans="1:26" ht="33.75" customHeight="1" x14ac:dyDescent="0.25">
      <c r="A73" s="41"/>
      <c r="B73" s="42">
        <f>B71-B67</f>
        <v>-9.9999999999980105E-3</v>
      </c>
      <c r="C73" s="42">
        <f t="shared" ref="C73:V74" si="24">C71-C67</f>
        <v>0.18250000000000455</v>
      </c>
      <c r="D73" s="42">
        <f t="shared" si="24"/>
        <v>-0.13600000000000279</v>
      </c>
      <c r="E73" s="42">
        <f t="shared" si="24"/>
        <v>7.0000000000014495E-3</v>
      </c>
      <c r="F73" s="42">
        <f t="shared" si="24"/>
        <v>-0.18799999999998818</v>
      </c>
      <c r="G73" s="42">
        <f t="shared" si="24"/>
        <v>0.17499999999999716</v>
      </c>
      <c r="H73" s="42">
        <f t="shared" si="24"/>
        <v>-0.21750000000000114</v>
      </c>
      <c r="I73" s="42">
        <f t="shared" si="24"/>
        <v>-0.18499999999999517</v>
      </c>
      <c r="J73" s="42">
        <f t="shared" si="24"/>
        <v>-0.15399999999999636</v>
      </c>
      <c r="K73" s="42">
        <f t="shared" si="24"/>
        <v>0.10199999999998965</v>
      </c>
      <c r="L73" s="42">
        <f t="shared" si="24"/>
        <v>-0.19600000000000151</v>
      </c>
      <c r="M73" s="42">
        <f t="shared" si="24"/>
        <v>-7.6000000000000512E-2</v>
      </c>
      <c r="N73" s="42">
        <f t="shared" si="24"/>
        <v>-0.22800000000000864</v>
      </c>
      <c r="O73" s="42">
        <f t="shared" si="24"/>
        <v>-0.22400000000001086</v>
      </c>
      <c r="P73" s="42">
        <f t="shared" si="24"/>
        <v>0.24450000000000216</v>
      </c>
      <c r="Q73" s="42">
        <f t="shared" si="24"/>
        <v>0.24500000000000455</v>
      </c>
      <c r="R73" s="42">
        <f t="shared" si="24"/>
        <v>-5.499999999999261E-2</v>
      </c>
      <c r="S73" s="42">
        <f t="shared" si="24"/>
        <v>2.7499999999999858E-2</v>
      </c>
      <c r="T73" s="42">
        <f t="shared" si="24"/>
        <v>0.16799999999999926</v>
      </c>
      <c r="U73" s="42">
        <f t="shared" si="24"/>
        <v>-0.15399999999999636</v>
      </c>
      <c r="V73" s="42">
        <f t="shared" si="24"/>
        <v>-5.2500000000009095E-2</v>
      </c>
      <c r="W73" s="42"/>
      <c r="X73" s="42"/>
    </row>
    <row r="74" spans="1:26" ht="33.75" customHeight="1" x14ac:dyDescent="0.25">
      <c r="A74" s="41"/>
      <c r="B74" s="42">
        <f>B72-B68</f>
        <v>2.5974025974022652E-2</v>
      </c>
      <c r="C74" s="42">
        <f t="shared" si="24"/>
        <v>-0.47402597402597735</v>
      </c>
      <c r="D74" s="42">
        <f t="shared" si="24"/>
        <v>0.34693877551023888</v>
      </c>
      <c r="E74" s="42">
        <f t="shared" si="24"/>
        <v>-5.882352941176805E-2</v>
      </c>
      <c r="F74" s="42">
        <f t="shared" si="24"/>
        <v>0.49735449735447901</v>
      </c>
      <c r="G74" s="42">
        <f t="shared" si="24"/>
        <v>-0.45454545454546746</v>
      </c>
      <c r="H74" s="42">
        <f t="shared" si="24"/>
        <v>0.56493506493507084</v>
      </c>
      <c r="I74" s="42">
        <f t="shared" si="24"/>
        <v>0.45566502463051961</v>
      </c>
      <c r="J74" s="42">
        <f t="shared" si="24"/>
        <v>0.3859649122806843</v>
      </c>
      <c r="K74" s="42">
        <f t="shared" si="24"/>
        <v>-0.24697336561743555</v>
      </c>
      <c r="L74" s="42">
        <f t="shared" si="24"/>
        <v>1.5555555555555998</v>
      </c>
      <c r="M74" s="42">
        <f t="shared" si="24"/>
        <v>0.18719211822659076</v>
      </c>
      <c r="N74" s="42">
        <f t="shared" si="24"/>
        <v>0.58163265306123435</v>
      </c>
      <c r="O74" s="42">
        <f t="shared" si="24"/>
        <v>0.57142857142861203</v>
      </c>
      <c r="P74" s="42">
        <f t="shared" si="24"/>
        <v>-0.61278195488719689</v>
      </c>
      <c r="Q74" s="42">
        <f>Q72-Q68</f>
        <v>-0.6140350877193157</v>
      </c>
      <c r="R74" s="42">
        <f t="shared" si="24"/>
        <v>0.13784461152880567</v>
      </c>
      <c r="S74" s="42">
        <f t="shared" si="24"/>
        <v>-0.2619047619047592</v>
      </c>
      <c r="T74" s="42">
        <f t="shared" si="24"/>
        <v>-0.42857142857144481</v>
      </c>
      <c r="U74" s="42">
        <f t="shared" si="24"/>
        <v>0.3859649122806843</v>
      </c>
      <c r="V74" s="42">
        <f t="shared" si="24"/>
        <v>0.13157894736841058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>
        <f>B60/B69</f>
        <v>0.15272727272727274</v>
      </c>
      <c r="C77" s="41">
        <f t="shared" ref="C77:V77" si="25">C60/C69</f>
        <v>0.15272727272727274</v>
      </c>
      <c r="D77" s="41">
        <f t="shared" si="25"/>
        <v>0.15357142857142855</v>
      </c>
      <c r="E77" s="41">
        <f t="shared" si="25"/>
        <v>0.15294117647058825</v>
      </c>
      <c r="F77" s="41">
        <f t="shared" si="25"/>
        <v>0.15185185185185185</v>
      </c>
      <c r="G77" s="41">
        <f t="shared" si="25"/>
        <v>0.15454545454545454</v>
      </c>
      <c r="H77" s="41">
        <f t="shared" si="25"/>
        <v>0.15636363636363634</v>
      </c>
      <c r="I77" s="41">
        <f t="shared" si="25"/>
        <v>0.15172413793103451</v>
      </c>
      <c r="J77" s="41">
        <f t="shared" si="25"/>
        <v>0.15438596491228071</v>
      </c>
      <c r="K77" s="41">
        <f t="shared" si="25"/>
        <v>0.15254237288135594</v>
      </c>
      <c r="L77" s="41">
        <f t="shared" si="25"/>
        <v>0.15555555555555556</v>
      </c>
      <c r="M77" s="41">
        <f t="shared" si="25"/>
        <v>0.15172413793103451</v>
      </c>
      <c r="N77" s="41">
        <f t="shared" si="25"/>
        <v>0.15357142857142855</v>
      </c>
      <c r="O77" s="41">
        <f t="shared" si="25"/>
        <v>0.15714285714285717</v>
      </c>
      <c r="P77" s="41">
        <f t="shared" si="25"/>
        <v>0.15964912280701754</v>
      </c>
      <c r="Q77" s="41">
        <f t="shared" si="25"/>
        <v>0.15789473684210525</v>
      </c>
      <c r="R77" s="41">
        <f t="shared" si="25"/>
        <v>0.1526315789473684</v>
      </c>
      <c r="S77" s="41">
        <f t="shared" si="25"/>
        <v>0.17333333333333334</v>
      </c>
      <c r="T77" s="41">
        <f t="shared" si="25"/>
        <v>0.16428571428571428</v>
      </c>
      <c r="U77" s="41">
        <f t="shared" si="25"/>
        <v>0.15789473684210525</v>
      </c>
      <c r="V77" s="41">
        <f t="shared" si="25"/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B54:D54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46"/>
  <dimension ref="A1:AE244"/>
  <sheetViews>
    <sheetView topLeftCell="A5" zoomScale="30" zoomScaleNormal="30" workbookViewId="0">
      <selection activeCell="B18" sqref="B1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30</v>
      </c>
      <c r="Q11" s="1022"/>
      <c r="R11" s="6"/>
      <c r="S11" s="1" t="s">
        <v>6</v>
      </c>
      <c r="T11" s="95">
        <v>45585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53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538">
        <f>SUM(B19:V19)</f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53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95.7</v>
      </c>
      <c r="D22" s="497">
        <v>94.5</v>
      </c>
      <c r="E22" s="497">
        <v>29.3</v>
      </c>
      <c r="F22" s="497">
        <v>96.5</v>
      </c>
      <c r="G22" s="497">
        <v>95.5</v>
      </c>
      <c r="H22" s="498">
        <v>95.7</v>
      </c>
      <c r="I22" s="126">
        <v>100.4</v>
      </c>
      <c r="J22" s="497">
        <v>98.6</v>
      </c>
      <c r="K22" s="497">
        <v>100.7</v>
      </c>
      <c r="L22" s="497">
        <v>29.5</v>
      </c>
      <c r="M22" s="497">
        <v>100.4</v>
      </c>
      <c r="N22" s="497">
        <v>100.6</v>
      </c>
      <c r="O22" s="497">
        <v>100.4</v>
      </c>
      <c r="P22" s="133">
        <v>100.9</v>
      </c>
      <c r="Q22" s="497">
        <v>101.9</v>
      </c>
      <c r="R22" s="497">
        <v>100.1</v>
      </c>
      <c r="S22" s="497">
        <v>30.8</v>
      </c>
      <c r="T22" s="497">
        <v>101.1</v>
      </c>
      <c r="U22" s="497">
        <v>100.7</v>
      </c>
      <c r="V22" s="498">
        <v>97.4</v>
      </c>
      <c r="W22" s="98">
        <f t="shared" si="0"/>
        <v>1866.2000000000003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95.5</v>
      </c>
      <c r="C23" s="497">
        <v>95.7</v>
      </c>
      <c r="D23" s="497">
        <v>94.5</v>
      </c>
      <c r="E23" s="497">
        <v>29</v>
      </c>
      <c r="F23" s="497">
        <v>96.5</v>
      </c>
      <c r="G23" s="497">
        <v>95.5</v>
      </c>
      <c r="H23" s="498">
        <v>95.7</v>
      </c>
      <c r="I23" s="126">
        <v>100.4</v>
      </c>
      <c r="J23" s="497">
        <v>98.6</v>
      </c>
      <c r="K23" s="497">
        <v>100.7</v>
      </c>
      <c r="L23" s="497">
        <v>29.5</v>
      </c>
      <c r="M23" s="497">
        <v>100.4</v>
      </c>
      <c r="N23" s="497">
        <v>100.6</v>
      </c>
      <c r="O23" s="497">
        <v>100.4</v>
      </c>
      <c r="P23" s="133">
        <v>100.9</v>
      </c>
      <c r="Q23" s="497">
        <v>101.9</v>
      </c>
      <c r="R23" s="497">
        <v>99.9</v>
      </c>
      <c r="S23" s="497">
        <v>30.8</v>
      </c>
      <c r="T23" s="497">
        <v>101.1</v>
      </c>
      <c r="U23" s="497">
        <v>100.6</v>
      </c>
      <c r="V23" s="536">
        <v>100.9</v>
      </c>
      <c r="W23" s="98">
        <f t="shared" si="0"/>
        <v>1869.1000000000001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95.5</v>
      </c>
      <c r="C24" s="497">
        <v>95.7</v>
      </c>
      <c r="D24" s="497">
        <v>94.5</v>
      </c>
      <c r="E24" s="497">
        <v>28.8</v>
      </c>
      <c r="F24" s="497">
        <v>96.5</v>
      </c>
      <c r="G24" s="497">
        <v>95.3</v>
      </c>
      <c r="H24" s="498">
        <v>95.5</v>
      </c>
      <c r="I24" s="126">
        <v>100.4</v>
      </c>
      <c r="J24" s="497">
        <v>98.6</v>
      </c>
      <c r="K24" s="497">
        <v>100.6</v>
      </c>
      <c r="L24" s="497">
        <v>29.5</v>
      </c>
      <c r="M24" s="497">
        <v>100.1</v>
      </c>
      <c r="N24" s="497">
        <v>100.6</v>
      </c>
      <c r="O24" s="497">
        <v>100.4</v>
      </c>
      <c r="P24" s="133">
        <v>100.7</v>
      </c>
      <c r="Q24" s="497">
        <v>101.9</v>
      </c>
      <c r="R24" s="497">
        <v>99.6</v>
      </c>
      <c r="S24" s="497">
        <v>30.8</v>
      </c>
      <c r="T24" s="497">
        <v>101.1</v>
      </c>
      <c r="U24" s="497">
        <v>100.6</v>
      </c>
      <c r="V24" s="498">
        <v>100.9</v>
      </c>
      <c r="W24" s="98">
        <f t="shared" si="0"/>
        <v>1867.6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668.5</v>
      </c>
      <c r="C25" s="120">
        <f>SUM(C18:C24)</f>
        <v>669.90000000000009</v>
      </c>
      <c r="D25" s="120">
        <f t="shared" ref="D25:V25" si="1">SUM(D18:D24)</f>
        <v>661.3</v>
      </c>
      <c r="E25" s="120">
        <f t="shared" si="1"/>
        <v>205.9</v>
      </c>
      <c r="F25" s="120">
        <f t="shared" si="1"/>
        <v>675.5</v>
      </c>
      <c r="G25" s="120">
        <f t="shared" si="1"/>
        <v>668.9</v>
      </c>
      <c r="H25" s="121">
        <f t="shared" si="1"/>
        <v>670</v>
      </c>
      <c r="I25" s="122">
        <f t="shared" si="1"/>
        <v>702.8</v>
      </c>
      <c r="J25" s="120">
        <f t="shared" si="1"/>
        <v>690.2</v>
      </c>
      <c r="K25" s="120">
        <f t="shared" si="1"/>
        <v>698.7</v>
      </c>
      <c r="L25" s="120">
        <f t="shared" si="1"/>
        <v>206.5</v>
      </c>
      <c r="M25" s="120">
        <f t="shared" si="1"/>
        <v>703.3</v>
      </c>
      <c r="N25" s="120">
        <f t="shared" si="1"/>
        <v>704.2</v>
      </c>
      <c r="O25" s="121">
        <f t="shared" si="1"/>
        <v>692.8</v>
      </c>
      <c r="P25" s="122">
        <f t="shared" si="1"/>
        <v>703.69999999999993</v>
      </c>
      <c r="Q25" s="120">
        <f t="shared" si="1"/>
        <v>713.3</v>
      </c>
      <c r="R25" s="120">
        <f t="shared" si="1"/>
        <v>701.5</v>
      </c>
      <c r="S25" s="120">
        <f t="shared" si="1"/>
        <v>216.20000000000002</v>
      </c>
      <c r="T25" s="120">
        <f t="shared" si="1"/>
        <v>707.90000000000009</v>
      </c>
      <c r="U25" s="120">
        <f t="shared" si="1"/>
        <v>704.9</v>
      </c>
      <c r="V25" s="121">
        <f t="shared" si="1"/>
        <v>679.19999999999993</v>
      </c>
      <c r="W25" s="361">
        <f>SUM(W18:W24)</f>
        <v>13045.2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163.4736842105263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176</v>
      </c>
      <c r="F27" s="27">
        <v>589</v>
      </c>
      <c r="G27" s="27">
        <v>582</v>
      </c>
      <c r="H27" s="28">
        <v>583</v>
      </c>
      <c r="I27" s="26">
        <v>613</v>
      </c>
      <c r="J27" s="27">
        <v>602</v>
      </c>
      <c r="K27" s="27">
        <v>614</v>
      </c>
      <c r="L27" s="27">
        <v>180</v>
      </c>
      <c r="M27" s="27">
        <v>611</v>
      </c>
      <c r="N27" s="27">
        <v>613</v>
      </c>
      <c r="O27" s="28">
        <v>613</v>
      </c>
      <c r="P27" s="26">
        <v>615</v>
      </c>
      <c r="Q27" s="27">
        <v>622</v>
      </c>
      <c r="R27" s="27">
        <v>608</v>
      </c>
      <c r="S27" s="27">
        <v>188</v>
      </c>
      <c r="T27" s="27">
        <v>617</v>
      </c>
      <c r="U27" s="27">
        <v>614</v>
      </c>
      <c r="V27" s="28">
        <v>616</v>
      </c>
      <c r="W27" s="29">
        <f>SUM(B27:V27)</f>
        <v>11400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28.832319999999999</v>
      </c>
      <c r="F28" s="31">
        <f t="shared" si="2"/>
        <v>96.489979999999989</v>
      </c>
      <c r="G28" s="31">
        <f t="shared" si="2"/>
        <v>95.343240000000009</v>
      </c>
      <c r="H28" s="32">
        <f t="shared" si="2"/>
        <v>95.50706000000001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100.58547999999999</v>
      </c>
      <c r="L28" s="31">
        <f t="shared" si="2"/>
        <v>29.487600000000004</v>
      </c>
      <c r="M28" s="31">
        <f t="shared" si="2"/>
        <v>100.09402</v>
      </c>
      <c r="N28" s="31">
        <f t="shared" si="2"/>
        <v>100.42166</v>
      </c>
      <c r="O28" s="32">
        <f t="shared" si="2"/>
        <v>100.42166</v>
      </c>
      <c r="P28" s="30">
        <f t="shared" si="2"/>
        <v>100.74929999999999</v>
      </c>
      <c r="Q28" s="31">
        <f t="shared" si="2"/>
        <v>101.89604</v>
      </c>
      <c r="R28" s="31">
        <f t="shared" si="2"/>
        <v>99.602560000000011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100.58547999999999</v>
      </c>
      <c r="V28" s="32">
        <f t="shared" si="2"/>
        <v>100.91312000000001</v>
      </c>
      <c r="W28" s="362">
        <f>((W25*1000)/7)/W27</f>
        <v>163.47368421052633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201.82623999999998</v>
      </c>
      <c r="F29" s="282">
        <f t="shared" si="3"/>
        <v>675.42985999999996</v>
      </c>
      <c r="G29" s="282">
        <f t="shared" si="3"/>
        <v>667.40267999999992</v>
      </c>
      <c r="H29" s="284">
        <f t="shared" si="3"/>
        <v>668.54941999999994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704.09835999999996</v>
      </c>
      <c r="L29" s="282">
        <f t="shared" si="3"/>
        <v>206.41319999999999</v>
      </c>
      <c r="M29" s="282">
        <f t="shared" si="3"/>
        <v>700.65813999999989</v>
      </c>
      <c r="N29" s="282">
        <f t="shared" si="3"/>
        <v>702.95161999999993</v>
      </c>
      <c r="O29" s="284">
        <f t="shared" si="3"/>
        <v>702.95161999999993</v>
      </c>
      <c r="P29" s="281">
        <f t="shared" si="3"/>
        <v>705.24509999999998</v>
      </c>
      <c r="Q29" s="282">
        <f t="shared" si="3"/>
        <v>713.27227999999991</v>
      </c>
      <c r="R29" s="282">
        <f t="shared" si="3"/>
        <v>697.21791999999994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704.09835999999996</v>
      </c>
      <c r="V29" s="284">
        <f t="shared" si="3"/>
        <v>706.39184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163.80789022298455</v>
      </c>
      <c r="C30" s="38">
        <f t="shared" ref="C30:V30" si="4">+(C25/C27)/7*1000</f>
        <v>163.86986301369862</v>
      </c>
      <c r="D30" s="38">
        <f t="shared" si="4"/>
        <v>163.72864570438225</v>
      </c>
      <c r="E30" s="38">
        <f t="shared" si="4"/>
        <v>167.12662337662337</v>
      </c>
      <c r="F30" s="38">
        <f t="shared" si="4"/>
        <v>163.83701188455007</v>
      </c>
      <c r="G30" s="38">
        <f t="shared" si="4"/>
        <v>164.18753068237604</v>
      </c>
      <c r="H30" s="39">
        <f t="shared" si="4"/>
        <v>164.17544719431513</v>
      </c>
      <c r="I30" s="37">
        <f t="shared" si="4"/>
        <v>163.78466557911909</v>
      </c>
      <c r="J30" s="38">
        <f t="shared" si="4"/>
        <v>163.78737541528241</v>
      </c>
      <c r="K30" s="38">
        <f t="shared" si="4"/>
        <v>162.56398324802234</v>
      </c>
      <c r="L30" s="38">
        <f t="shared" si="4"/>
        <v>163.88888888888889</v>
      </c>
      <c r="M30" s="38">
        <f t="shared" si="4"/>
        <v>164.43768996960486</v>
      </c>
      <c r="N30" s="38">
        <f t="shared" si="4"/>
        <v>164.11092985318109</v>
      </c>
      <c r="O30" s="39">
        <f t="shared" si="4"/>
        <v>161.4542064786763</v>
      </c>
      <c r="P30" s="37">
        <f t="shared" si="4"/>
        <v>163.46109175377467</v>
      </c>
      <c r="Q30" s="38">
        <f t="shared" si="4"/>
        <v>163.82636655948551</v>
      </c>
      <c r="R30" s="38">
        <f t="shared" si="4"/>
        <v>164.82612781954887</v>
      </c>
      <c r="S30" s="38">
        <f t="shared" si="4"/>
        <v>164.28571428571431</v>
      </c>
      <c r="T30" s="38">
        <f t="shared" si="4"/>
        <v>163.90368140773327</v>
      </c>
      <c r="U30" s="38">
        <f t="shared" si="4"/>
        <v>164.00651465798046</v>
      </c>
      <c r="V30" s="39">
        <f t="shared" si="4"/>
        <v>157.51391465677182</v>
      </c>
      <c r="W30" s="40"/>
    </row>
    <row r="31" spans="1:31" ht="33.75" customHeight="1" x14ac:dyDescent="0.25">
      <c r="A31" s="41"/>
      <c r="B31" s="42">
        <f>B29-B25</f>
        <v>4.9419999999940956E-2</v>
      </c>
      <c r="C31" s="42">
        <f t="shared" ref="C31:V32" si="5">C29-C25</f>
        <v>-0.20384000000012747</v>
      </c>
      <c r="D31" s="42">
        <f t="shared" si="5"/>
        <v>0.36898000000007869</v>
      </c>
      <c r="E31" s="42">
        <f t="shared" si="5"/>
        <v>-4.0737600000000214</v>
      </c>
      <c r="F31" s="42">
        <f t="shared" si="5"/>
        <v>-7.0140000000037617E-2</v>
      </c>
      <c r="G31" s="42">
        <f t="shared" si="5"/>
        <v>-1.4973200000000588</v>
      </c>
      <c r="H31" s="42">
        <f t="shared" si="5"/>
        <v>-1.450580000000059</v>
      </c>
      <c r="I31" s="42">
        <f t="shared" si="5"/>
        <v>0.15161999999997988</v>
      </c>
      <c r="J31" s="42">
        <f t="shared" si="5"/>
        <v>0.13747999999998228</v>
      </c>
      <c r="K31" s="42">
        <f t="shared" si="5"/>
        <v>5.3983599999999115</v>
      </c>
      <c r="L31" s="42">
        <f t="shared" si="5"/>
        <v>-8.6800000000010868E-2</v>
      </c>
      <c r="M31" s="42">
        <f t="shared" si="5"/>
        <v>-2.6418600000000652</v>
      </c>
      <c r="N31" s="42">
        <f t="shared" si="5"/>
        <v>-1.2483800000001111</v>
      </c>
      <c r="O31" s="42">
        <f t="shared" si="5"/>
        <v>10.15161999999998</v>
      </c>
      <c r="P31" s="42">
        <f t="shared" si="5"/>
        <v>1.5451000000000477</v>
      </c>
      <c r="Q31" s="42">
        <f t="shared" si="5"/>
        <v>-2.772000000004482E-2</v>
      </c>
      <c r="R31" s="42">
        <f t="shared" si="5"/>
        <v>-4.2820800000000645</v>
      </c>
      <c r="S31" s="42">
        <f t="shared" si="5"/>
        <v>-0.6128800000000183</v>
      </c>
      <c r="T31" s="42">
        <f t="shared" si="5"/>
        <v>-0.36142000000006647</v>
      </c>
      <c r="U31" s="42">
        <f t="shared" si="5"/>
        <v>-0.80164000000002034</v>
      </c>
      <c r="V31" s="42">
        <f t="shared" si="5"/>
        <v>27.19184000000007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-1.2109777015439249E-2</v>
      </c>
      <c r="C32" s="42">
        <f t="shared" si="5"/>
        <v>4.9863013698626446E-2</v>
      </c>
      <c r="D32" s="42">
        <f t="shared" si="5"/>
        <v>-9.1354295617747994E-2</v>
      </c>
      <c r="E32" s="42">
        <f t="shared" si="5"/>
        <v>3.3066233766233779</v>
      </c>
      <c r="F32" s="42">
        <f t="shared" si="5"/>
        <v>1.7011884550072409E-2</v>
      </c>
      <c r="G32" s="42">
        <f t="shared" si="5"/>
        <v>0.36753068237604225</v>
      </c>
      <c r="H32" s="42">
        <f t="shared" si="5"/>
        <v>0.35544719431513272</v>
      </c>
      <c r="I32" s="42">
        <f t="shared" si="5"/>
        <v>-3.5334420880900552E-2</v>
      </c>
      <c r="J32" s="42">
        <f t="shared" si="5"/>
        <v>-3.2624584717581229E-2</v>
      </c>
      <c r="K32" s="42">
        <f t="shared" si="5"/>
        <v>-1.2560167519776542</v>
      </c>
      <c r="L32" s="42">
        <f t="shared" si="5"/>
        <v>6.8888888888892552E-2</v>
      </c>
      <c r="M32" s="42">
        <f t="shared" si="5"/>
        <v>0.61768996960486788</v>
      </c>
      <c r="N32" s="42">
        <f t="shared" si="5"/>
        <v>0.29092985318109754</v>
      </c>
      <c r="O32" s="42">
        <f t="shared" si="5"/>
        <v>-2.3657935213236954</v>
      </c>
      <c r="P32" s="42">
        <f t="shared" si="5"/>
        <v>-0.35890824622532591</v>
      </c>
      <c r="Q32" s="42">
        <f>Q30-Q26</f>
        <v>6.3665594855137897E-3</v>
      </c>
      <c r="R32" s="42">
        <f t="shared" si="5"/>
        <v>1.0061278195488796</v>
      </c>
      <c r="S32" s="42">
        <f t="shared" si="5"/>
        <v>0.46571428571431284</v>
      </c>
      <c r="T32" s="42">
        <f t="shared" si="5"/>
        <v>8.3681407733280366E-2</v>
      </c>
      <c r="U32" s="42">
        <f t="shared" si="5"/>
        <v>0.18651465798046729</v>
      </c>
      <c r="V32" s="42">
        <f t="shared" si="5"/>
        <v>-6.306085343228176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540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7.3</v>
      </c>
      <c r="P39" s="19">
        <v>7.1</v>
      </c>
      <c r="Q39" s="19">
        <v>2.5</v>
      </c>
      <c r="R39" s="19">
        <v>7.4</v>
      </c>
      <c r="S39" s="19">
        <v>7.4</v>
      </c>
      <c r="T39" s="19">
        <v>7.3</v>
      </c>
      <c r="U39" s="540">
        <f t="shared" ref="U39:U46" si="7">SUM(O39:T39)</f>
        <v>38.999999999999993</v>
      </c>
      <c r="V39" s="49">
        <v>40.199999999999996</v>
      </c>
      <c r="W39" s="48">
        <f>V39-U39</f>
        <v>1.2000000000000028</v>
      </c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539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7.3</v>
      </c>
      <c r="P40" s="19">
        <v>7.1</v>
      </c>
      <c r="Q40" s="19">
        <v>2.5</v>
      </c>
      <c r="R40" s="19">
        <v>7.4</v>
      </c>
      <c r="S40" s="19">
        <v>7.4</v>
      </c>
      <c r="T40" s="19">
        <v>7.3</v>
      </c>
      <c r="U40" s="539">
        <f t="shared" si="7"/>
        <v>38.999999999999993</v>
      </c>
      <c r="V40" s="49">
        <v>39.200000000000003</v>
      </c>
      <c r="W40" s="48">
        <f t="shared" ref="W40:W45" si="8">V40-U40</f>
        <v>0.20000000000000995</v>
      </c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539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7.1</v>
      </c>
      <c r="Q41" s="19">
        <v>1.9</v>
      </c>
      <c r="R41" s="19">
        <v>7.1</v>
      </c>
      <c r="S41" s="19">
        <v>7.3</v>
      </c>
      <c r="T41" s="19">
        <v>7.4</v>
      </c>
      <c r="U41" s="539">
        <f t="shared" si="7"/>
        <v>37.800000000000004</v>
      </c>
      <c r="V41" s="49">
        <v>39.5</v>
      </c>
      <c r="W41" s="48">
        <f t="shared" si="8"/>
        <v>1.6999999999999957</v>
      </c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</v>
      </c>
      <c r="P42" s="19">
        <v>7.1</v>
      </c>
      <c r="Q42" s="19">
        <v>1.9</v>
      </c>
      <c r="R42" s="19">
        <v>7.1</v>
      </c>
      <c r="S42" s="19">
        <v>7.3</v>
      </c>
      <c r="T42" s="19">
        <v>7.4</v>
      </c>
      <c r="U42" s="264">
        <f t="shared" si="7"/>
        <v>37.800000000000004</v>
      </c>
      <c r="V42" s="49">
        <v>39.299999999999997</v>
      </c>
      <c r="W42" s="48">
        <f t="shared" si="8"/>
        <v>1.4999999999999929</v>
      </c>
      <c r="X42" s="2"/>
      <c r="Y42" s="2"/>
    </row>
    <row r="43" spans="1:31" ht="33.75" customHeight="1" x14ac:dyDescent="0.25">
      <c r="A43" s="146" t="s">
        <v>21</v>
      </c>
      <c r="B43" s="535">
        <v>93.3</v>
      </c>
      <c r="C43" s="497">
        <v>92.7</v>
      </c>
      <c r="D43" s="497">
        <v>26.1</v>
      </c>
      <c r="E43" s="497">
        <v>95.6</v>
      </c>
      <c r="F43" s="497">
        <v>95.3</v>
      </c>
      <c r="G43" s="536">
        <v>96.3</v>
      </c>
      <c r="H43" s="264">
        <f t="shared" si="6"/>
        <v>499.3</v>
      </c>
      <c r="I43" s="49"/>
      <c r="J43" s="222"/>
      <c r="K43" s="222"/>
      <c r="L43" s="222"/>
      <c r="M43" s="2"/>
      <c r="N43" s="146" t="s">
        <v>21</v>
      </c>
      <c r="O43" s="18">
        <v>7</v>
      </c>
      <c r="P43" s="19">
        <v>7.1</v>
      </c>
      <c r="Q43" s="19">
        <v>1.9</v>
      </c>
      <c r="R43" s="19">
        <v>7.1</v>
      </c>
      <c r="S43" s="19">
        <v>7.3</v>
      </c>
      <c r="T43" s="19">
        <v>7.4</v>
      </c>
      <c r="U43" s="264">
        <f t="shared" si="7"/>
        <v>37.800000000000004</v>
      </c>
      <c r="V43" s="49">
        <v>39.299999999999997</v>
      </c>
      <c r="W43" s="48">
        <f t="shared" si="8"/>
        <v>1.4999999999999929</v>
      </c>
      <c r="X43" s="2"/>
      <c r="Y43" s="2"/>
    </row>
    <row r="44" spans="1:31" ht="33.75" customHeight="1" x14ac:dyDescent="0.25">
      <c r="A44" s="146" t="s">
        <v>22</v>
      </c>
      <c r="B44" s="133">
        <v>93.3</v>
      </c>
      <c r="C44" s="497">
        <v>92.7</v>
      </c>
      <c r="D44" s="534">
        <v>26.4</v>
      </c>
      <c r="E44" s="497">
        <v>95.6</v>
      </c>
      <c r="F44" s="497">
        <v>95.1</v>
      </c>
      <c r="G44" s="498">
        <v>96.3</v>
      </c>
      <c r="H44" s="264">
        <f t="shared" si="6"/>
        <v>499.40000000000003</v>
      </c>
      <c r="I44" s="49"/>
      <c r="J44" s="43"/>
      <c r="K44" s="43"/>
      <c r="L44" s="43"/>
      <c r="M44" s="2"/>
      <c r="N44" s="146" t="s">
        <v>22</v>
      </c>
      <c r="O44" s="18">
        <v>6.8</v>
      </c>
      <c r="P44" s="19">
        <v>6.9</v>
      </c>
      <c r="Q44" s="19">
        <v>1.9</v>
      </c>
      <c r="R44" s="19">
        <v>7.1</v>
      </c>
      <c r="S44" s="19">
        <v>7.3</v>
      </c>
      <c r="T44" s="19">
        <v>7.2</v>
      </c>
      <c r="U44" s="264">
        <f t="shared" si="7"/>
        <v>37.200000000000003</v>
      </c>
      <c r="V44" s="49">
        <v>39.299999999999997</v>
      </c>
      <c r="W44" s="48">
        <f t="shared" si="8"/>
        <v>2.0999999999999943</v>
      </c>
      <c r="X44" s="2"/>
      <c r="Y44" s="2"/>
    </row>
    <row r="45" spans="1:31" ht="33.75" customHeight="1" thickBot="1" x14ac:dyDescent="0.3">
      <c r="A45" s="146" t="s">
        <v>23</v>
      </c>
      <c r="B45" s="133">
        <v>93.1</v>
      </c>
      <c r="C45" s="497">
        <v>92.2</v>
      </c>
      <c r="D45" s="497">
        <v>26.1</v>
      </c>
      <c r="E45" s="542">
        <v>98.1</v>
      </c>
      <c r="F45" s="542">
        <v>97.8</v>
      </c>
      <c r="G45" s="498">
        <v>96.2</v>
      </c>
      <c r="H45" s="265">
        <f t="shared" si="6"/>
        <v>503.5</v>
      </c>
      <c r="I45" s="49"/>
      <c r="J45" s="41"/>
      <c r="K45" s="41"/>
      <c r="L45" s="41"/>
      <c r="M45" s="2"/>
      <c r="N45" s="146" t="s">
        <v>23</v>
      </c>
      <c r="O45" s="18">
        <v>6.5</v>
      </c>
      <c r="P45" s="19">
        <v>6.9</v>
      </c>
      <c r="Q45" s="19">
        <v>1.9</v>
      </c>
      <c r="R45" s="19">
        <v>7.1</v>
      </c>
      <c r="S45" s="19">
        <v>7.3</v>
      </c>
      <c r="T45" s="19">
        <v>7.2</v>
      </c>
      <c r="U45" s="264">
        <f t="shared" si="7"/>
        <v>36.9</v>
      </c>
      <c r="V45" s="49">
        <v>39.299999999999997</v>
      </c>
      <c r="W45" s="48">
        <f t="shared" si="8"/>
        <v>2.3999999999999986</v>
      </c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9">SUM(B39:B45)</f>
        <v>644.90000000000009</v>
      </c>
      <c r="C46" s="120">
        <f t="shared" si="9"/>
        <v>642.80000000000007</v>
      </c>
      <c r="D46" s="120">
        <f t="shared" si="9"/>
        <v>184.29999999999998</v>
      </c>
      <c r="E46" s="120">
        <f t="shared" si="9"/>
        <v>662.00000000000011</v>
      </c>
      <c r="F46" s="120">
        <f t="shared" si="9"/>
        <v>661.19999999999993</v>
      </c>
      <c r="G46" s="121">
        <f t="shared" si="9"/>
        <v>659.6</v>
      </c>
      <c r="H46" s="275">
        <f t="shared" si="6"/>
        <v>3454.8</v>
      </c>
      <c r="I46" s="49"/>
      <c r="J46" s="42"/>
      <c r="K46" s="42"/>
      <c r="L46" s="42"/>
      <c r="N46" s="145" t="s">
        <v>9</v>
      </c>
      <c r="O46" s="122">
        <f t="shared" ref="O46:T46" si="10">SUM(O39:O45)</f>
        <v>48.9</v>
      </c>
      <c r="P46" s="120">
        <f t="shared" si="10"/>
        <v>49.3</v>
      </c>
      <c r="Q46" s="120">
        <f t="shared" si="10"/>
        <v>14.500000000000002</v>
      </c>
      <c r="R46" s="120">
        <f t="shared" si="10"/>
        <v>50.300000000000004</v>
      </c>
      <c r="S46" s="120">
        <f t="shared" si="10"/>
        <v>51.3</v>
      </c>
      <c r="T46" s="120">
        <f t="shared" si="10"/>
        <v>51.2</v>
      </c>
      <c r="U46" s="326">
        <f t="shared" si="7"/>
        <v>265.5</v>
      </c>
      <c r="V46" s="49">
        <v>276.10000000000002</v>
      </c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154.99</v>
      </c>
      <c r="C47" s="520">
        <v>150.9</v>
      </c>
      <c r="D47" s="520">
        <v>154.65</v>
      </c>
      <c r="E47" s="24">
        <v>158.69999999999999</v>
      </c>
      <c r="F47" s="24">
        <v>158.69999999999999</v>
      </c>
      <c r="G47" s="25">
        <v>154.13</v>
      </c>
      <c r="H47" s="128">
        <f>+((H46/H48)/7)*1000</f>
        <v>152.37507167115072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150.51020408163265</v>
      </c>
      <c r="V47" s="50">
        <v>148.84097035040435</v>
      </c>
    </row>
    <row r="48" spans="1:31" ht="33.75" customHeight="1" x14ac:dyDescent="0.25">
      <c r="A48" s="149" t="s">
        <v>12</v>
      </c>
      <c r="B48" s="26">
        <v>601</v>
      </c>
      <c r="C48" s="27">
        <v>611</v>
      </c>
      <c r="D48" s="27">
        <v>169</v>
      </c>
      <c r="E48" s="27">
        <v>618</v>
      </c>
      <c r="F48" s="27">
        <v>616</v>
      </c>
      <c r="G48" s="28">
        <v>624</v>
      </c>
      <c r="H48" s="129">
        <f>SUM(B48:G48)</f>
        <v>3239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47</v>
      </c>
      <c r="Q48" s="278">
        <v>14</v>
      </c>
      <c r="R48" s="278">
        <v>48</v>
      </c>
      <c r="S48" s="278">
        <v>49</v>
      </c>
      <c r="T48" s="278">
        <v>48</v>
      </c>
      <c r="U48" s="235">
        <f>SUM(O48:T48)</f>
        <v>252</v>
      </c>
      <c r="V48" s="52">
        <v>265</v>
      </c>
    </row>
    <row r="49" spans="1:30" ht="33.75" customHeight="1" x14ac:dyDescent="0.25">
      <c r="A49" s="150" t="s">
        <v>13</v>
      </c>
      <c r="B49" s="30">
        <f>(B48*B47)/1000</f>
        <v>93.148990000000012</v>
      </c>
      <c r="C49" s="31">
        <f t="shared" ref="C49:G49" si="11">(C48*C47)/1000</f>
        <v>92.199900000000014</v>
      </c>
      <c r="D49" s="31">
        <f t="shared" si="11"/>
        <v>26.135850000000001</v>
      </c>
      <c r="E49" s="31">
        <f t="shared" si="11"/>
        <v>98.076599999999985</v>
      </c>
      <c r="F49" s="31">
        <f t="shared" si="11"/>
        <v>97.759199999999993</v>
      </c>
      <c r="G49" s="32">
        <f t="shared" si="11"/>
        <v>96.177120000000002</v>
      </c>
      <c r="H49" s="130">
        <f>((H46*1000)/H48)/7</f>
        <v>152.37507167115069</v>
      </c>
      <c r="I49" s="54"/>
      <c r="J49" s="54"/>
      <c r="K49" s="41"/>
      <c r="L49" s="49"/>
      <c r="N49" s="150" t="s">
        <v>13</v>
      </c>
      <c r="O49" s="30">
        <f t="shared" ref="O49:T49" si="12">((((O47*7)*O48)/1000)-(O39+O40))/5</f>
        <v>6.5468000000000002</v>
      </c>
      <c r="P49" s="31">
        <f t="shared" si="12"/>
        <v>6.9312999999999985</v>
      </c>
      <c r="Q49" s="31">
        <f t="shared" si="12"/>
        <v>1.9204000000000001</v>
      </c>
      <c r="R49" s="31">
        <f t="shared" si="12"/>
        <v>7.0527999999999995</v>
      </c>
      <c r="S49" s="31">
        <f t="shared" si="12"/>
        <v>7.2956999999999992</v>
      </c>
      <c r="T49" s="31">
        <f t="shared" si="12"/>
        <v>7.1599999999999993</v>
      </c>
      <c r="U49" s="253">
        <f>((U46*1000)/U48)/7</f>
        <v>150.51020408163268</v>
      </c>
      <c r="V49" s="192">
        <v>148.84097035040432</v>
      </c>
    </row>
    <row r="50" spans="1:30" ht="33.75" customHeight="1" x14ac:dyDescent="0.25">
      <c r="A50" s="151" t="s">
        <v>14</v>
      </c>
      <c r="B50" s="281">
        <f t="shared" ref="B50:G50" si="13">((B48*B47)*7)/1000</f>
        <v>652.04293000000007</v>
      </c>
      <c r="C50" s="282">
        <f t="shared" si="13"/>
        <v>645.39930000000004</v>
      </c>
      <c r="D50" s="282">
        <f t="shared" si="13"/>
        <v>182.95095000000001</v>
      </c>
      <c r="E50" s="282">
        <f t="shared" si="13"/>
        <v>686.53620000000001</v>
      </c>
      <c r="F50" s="282">
        <f t="shared" si="13"/>
        <v>684.31439999999998</v>
      </c>
      <c r="G50" s="284">
        <f t="shared" si="13"/>
        <v>673.23983999999996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47.334000000000003</v>
      </c>
      <c r="P50" s="282">
        <f t="shared" si="14"/>
        <v>48.856499999999997</v>
      </c>
      <c r="Q50" s="282">
        <f t="shared" si="14"/>
        <v>14.602</v>
      </c>
      <c r="R50" s="282">
        <f t="shared" si="14"/>
        <v>50.064</v>
      </c>
      <c r="S50" s="282">
        <f t="shared" si="14"/>
        <v>51.278500000000001</v>
      </c>
      <c r="T50" s="282">
        <f t="shared" si="14"/>
        <v>50.4</v>
      </c>
      <c r="U50" s="254"/>
    </row>
    <row r="51" spans="1:30" ht="33.75" customHeight="1" thickBot="1" x14ac:dyDescent="0.3">
      <c r="A51" s="152" t="s">
        <v>15</v>
      </c>
      <c r="B51" s="37">
        <f t="shared" ref="B51:G51" si="15">+(B46/B48)/7*1000</f>
        <v>153.29213216068462</v>
      </c>
      <c r="C51" s="38">
        <f t="shared" si="15"/>
        <v>150.2922609305588</v>
      </c>
      <c r="D51" s="38">
        <f t="shared" si="15"/>
        <v>155.79036348267118</v>
      </c>
      <c r="E51" s="38">
        <f t="shared" si="15"/>
        <v>153.02820157189092</v>
      </c>
      <c r="F51" s="38">
        <f t="shared" si="15"/>
        <v>153.33951762523191</v>
      </c>
      <c r="G51" s="39">
        <f t="shared" si="15"/>
        <v>151.00732600732599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151.86335403726707</v>
      </c>
      <c r="P51" s="38">
        <f t="shared" si="16"/>
        <v>149.84802431610942</v>
      </c>
      <c r="Q51" s="38">
        <f t="shared" si="16"/>
        <v>147.95918367346943</v>
      </c>
      <c r="R51" s="38">
        <f t="shared" si="16"/>
        <v>149.70238095238096</v>
      </c>
      <c r="S51" s="38">
        <f t="shared" si="16"/>
        <v>149.56268221574342</v>
      </c>
      <c r="T51" s="38">
        <f t="shared" si="16"/>
        <v>152.38095238095238</v>
      </c>
      <c r="U51" s="255"/>
      <c r="V51" s="42"/>
    </row>
    <row r="52" spans="1:30" ht="33.75" customHeight="1" x14ac:dyDescent="0.25">
      <c r="A52" s="41"/>
      <c r="B52" s="42">
        <f>B50-B46</f>
        <v>7.1429299999999785</v>
      </c>
      <c r="C52" s="42">
        <f t="shared" ref="C52:G53" si="17">C50-C46</f>
        <v>2.5992999999999711</v>
      </c>
      <c r="D52" s="42">
        <f t="shared" si="17"/>
        <v>-1.349049999999977</v>
      </c>
      <c r="E52" s="42">
        <f t="shared" si="17"/>
        <v>24.536199999999894</v>
      </c>
      <c r="F52" s="42">
        <f t="shared" si="17"/>
        <v>23.114400000000046</v>
      </c>
      <c r="G52" s="42">
        <f t="shared" si="17"/>
        <v>13.639839999999936</v>
      </c>
      <c r="H52" s="41"/>
      <c r="I52" s="45"/>
      <c r="J52" s="45"/>
      <c r="K52" s="56"/>
      <c r="L52" s="41"/>
      <c r="M52" s="41"/>
      <c r="N52" s="42"/>
      <c r="O52" s="42">
        <f t="shared" ref="O52:T53" si="18">O50-O46</f>
        <v>-1.5659999999999954</v>
      </c>
      <c r="P52" s="42">
        <f t="shared" si="18"/>
        <v>-0.44350000000000023</v>
      </c>
      <c r="Q52" s="42">
        <f t="shared" si="18"/>
        <v>0.10199999999999854</v>
      </c>
      <c r="R52" s="42">
        <f t="shared" si="18"/>
        <v>-0.23600000000000421</v>
      </c>
      <c r="S52" s="42">
        <f t="shared" si="18"/>
        <v>-2.1499999999996078E-2</v>
      </c>
      <c r="T52" s="42">
        <f t="shared" si="18"/>
        <v>-0.80000000000000426</v>
      </c>
    </row>
    <row r="53" spans="1:30" ht="33.75" customHeight="1" x14ac:dyDescent="0.25">
      <c r="A53" s="41"/>
      <c r="B53" s="42">
        <f>B51-B47</f>
        <v>-1.6978678393153928</v>
      </c>
      <c r="C53" s="42">
        <f t="shared" si="17"/>
        <v>-0.60773906944120881</v>
      </c>
      <c r="D53" s="42">
        <f t="shared" si="17"/>
        <v>1.1403634826711766</v>
      </c>
      <c r="E53" s="42">
        <f t="shared" si="17"/>
        <v>-5.6717984281090708</v>
      </c>
      <c r="F53" s="42">
        <f t="shared" si="17"/>
        <v>-5.3604823747680825</v>
      </c>
      <c r="G53" s="42">
        <f t="shared" si="17"/>
        <v>-3.1226739926740095</v>
      </c>
      <c r="I53" s="2"/>
      <c r="J53" s="2"/>
      <c r="K53" s="45"/>
      <c r="L53" s="41"/>
      <c r="M53" s="42"/>
      <c r="N53" s="42"/>
      <c r="O53" s="42">
        <f t="shared" si="18"/>
        <v>4.8633540372670723</v>
      </c>
      <c r="P53" s="42">
        <f t="shared" si="18"/>
        <v>1.3480243161094165</v>
      </c>
      <c r="Q53" s="42">
        <f t="shared" si="18"/>
        <v>-1.0408163265305745</v>
      </c>
      <c r="R53" s="42">
        <f t="shared" si="18"/>
        <v>0.70238095238096321</v>
      </c>
      <c r="S53" s="42">
        <f t="shared" si="18"/>
        <v>6.2682215743421921E-2</v>
      </c>
      <c r="T53" s="42">
        <f t="shared" si="18"/>
        <v>2.3809523809523796</v>
      </c>
      <c r="W53" s="3"/>
    </row>
    <row r="54" spans="1:30" ht="33.75" customHeight="1" x14ac:dyDescent="0.25">
      <c r="A54" s="41"/>
      <c r="B54" s="1050" t="s">
        <v>115</v>
      </c>
      <c r="C54" s="1050"/>
      <c r="D54" s="1050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v>0.15306122448979592</v>
      </c>
      <c r="P55" s="42">
        <v>0.14814814814814814</v>
      </c>
      <c r="Q55" s="42">
        <v>0.17499999999999999</v>
      </c>
      <c r="R55" s="42">
        <v>0.15416666666666667</v>
      </c>
      <c r="S55" s="42">
        <v>0.15098039215686274</v>
      </c>
      <c r="T55" s="42"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>
        <f>O55*O48</f>
        <v>7.0408163265306127</v>
      </c>
      <c r="P56" s="537">
        <f t="shared" ref="P56:T56" si="19">P55*P48</f>
        <v>6.9629629629629628</v>
      </c>
      <c r="Q56" s="537">
        <f t="shared" si="19"/>
        <v>2.4499999999999997</v>
      </c>
      <c r="R56" s="537">
        <f t="shared" si="19"/>
        <v>7.4</v>
      </c>
      <c r="S56" s="537">
        <f t="shared" si="19"/>
        <v>7.398039215686274</v>
      </c>
      <c r="T56" s="537">
        <f t="shared" si="19"/>
        <v>7.1563636363636363</v>
      </c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7.6</v>
      </c>
      <c r="D60" s="19">
        <v>7.8</v>
      </c>
      <c r="E60" s="19">
        <v>2.2999999999999998</v>
      </c>
      <c r="F60" s="19">
        <v>7.7</v>
      </c>
      <c r="G60" s="19">
        <v>7.9</v>
      </c>
      <c r="H60" s="104">
        <v>8.1</v>
      </c>
      <c r="I60" s="18">
        <v>8</v>
      </c>
      <c r="J60" s="19">
        <v>8.1999999999999993</v>
      </c>
      <c r="K60" s="19">
        <v>8.1999999999999993</v>
      </c>
      <c r="L60" s="267">
        <v>2.2999999999999998</v>
      </c>
      <c r="M60" s="267">
        <v>8.1999999999999993</v>
      </c>
      <c r="N60" s="19">
        <v>8.3000000000000007</v>
      </c>
      <c r="O60" s="474">
        <v>8.5</v>
      </c>
      <c r="P60" s="281">
        <v>8.5</v>
      </c>
      <c r="Q60" s="282">
        <v>8.4</v>
      </c>
      <c r="R60" s="282">
        <v>8.1</v>
      </c>
      <c r="S60" s="282">
        <v>2.4</v>
      </c>
      <c r="T60" s="282">
        <v>8.5</v>
      </c>
      <c r="U60" s="282">
        <v>8.4</v>
      </c>
      <c r="V60" s="283">
        <v>7.9</v>
      </c>
      <c r="W60" s="539">
        <f t="shared" ref="W60:W66" si="20">SUM(B60:V60)</f>
        <v>153.10000000000002</v>
      </c>
      <c r="X60" s="2">
        <v>165.29999999999998</v>
      </c>
      <c r="Y60" s="48">
        <f>X60-W60</f>
        <v>12.19999999999996</v>
      </c>
      <c r="Z60" s="2"/>
    </row>
    <row r="61" spans="1:30" ht="33.75" customHeight="1" x14ac:dyDescent="0.25">
      <c r="A61" s="146" t="s">
        <v>24</v>
      </c>
      <c r="B61" s="18">
        <v>7.8</v>
      </c>
      <c r="C61" s="19">
        <v>7.6</v>
      </c>
      <c r="D61" s="19">
        <v>7.8</v>
      </c>
      <c r="E61" s="19">
        <v>2.2999999999999998</v>
      </c>
      <c r="F61" s="19">
        <v>7.7</v>
      </c>
      <c r="G61" s="19">
        <v>7.9</v>
      </c>
      <c r="H61" s="104">
        <v>8.1</v>
      </c>
      <c r="I61" s="18">
        <v>8</v>
      </c>
      <c r="J61" s="19">
        <v>8.1999999999999993</v>
      </c>
      <c r="K61" s="19">
        <v>8.1999999999999993</v>
      </c>
      <c r="L61" s="267">
        <v>2.2999999999999998</v>
      </c>
      <c r="M61" s="267">
        <v>8.1999999999999993</v>
      </c>
      <c r="N61" s="19">
        <v>8.3000000000000007</v>
      </c>
      <c r="O61" s="474">
        <v>8.5</v>
      </c>
      <c r="P61" s="281">
        <v>8.5</v>
      </c>
      <c r="Q61" s="282">
        <v>8.4</v>
      </c>
      <c r="R61" s="282">
        <v>8.1</v>
      </c>
      <c r="S61" s="282">
        <v>2.4</v>
      </c>
      <c r="T61" s="282">
        <v>8.5</v>
      </c>
      <c r="U61" s="282">
        <v>8.4</v>
      </c>
      <c r="V61" s="283">
        <v>7.9</v>
      </c>
      <c r="W61" s="539">
        <f t="shared" si="20"/>
        <v>153.10000000000002</v>
      </c>
      <c r="X61" s="2">
        <v>162.39999999999998</v>
      </c>
      <c r="Y61" s="48">
        <f t="shared" ref="Y61:Y66" si="21">X61-W61</f>
        <v>9.2999999999999545</v>
      </c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</v>
      </c>
      <c r="I62" s="18">
        <v>8.1</v>
      </c>
      <c r="J62" s="19">
        <v>8.1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</v>
      </c>
      <c r="Q62" s="282">
        <v>8.1</v>
      </c>
      <c r="R62" s="282">
        <v>8.3000000000000007</v>
      </c>
      <c r="S62" s="282">
        <v>2.1</v>
      </c>
      <c r="T62" s="282">
        <v>7.8</v>
      </c>
      <c r="U62" s="282">
        <v>8.1</v>
      </c>
      <c r="V62" s="283">
        <v>7.7</v>
      </c>
      <c r="W62" s="539">
        <f t="shared" si="20"/>
        <v>151.69999999999999</v>
      </c>
      <c r="X62" s="2">
        <v>164.5</v>
      </c>
      <c r="Y62" s="48">
        <f t="shared" si="21"/>
        <v>12.800000000000011</v>
      </c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</v>
      </c>
      <c r="I63" s="18">
        <v>8.1</v>
      </c>
      <c r="J63" s="19">
        <v>8.1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</v>
      </c>
      <c r="Q63" s="282">
        <v>8.1</v>
      </c>
      <c r="R63" s="282">
        <v>8.3000000000000007</v>
      </c>
      <c r="S63" s="282">
        <v>2.1</v>
      </c>
      <c r="T63" s="282">
        <v>7.8</v>
      </c>
      <c r="U63" s="282">
        <v>8.1</v>
      </c>
      <c r="V63" s="283">
        <v>7.7</v>
      </c>
      <c r="W63" s="264">
        <f t="shared" si="20"/>
        <v>151.69999999999999</v>
      </c>
      <c r="X63" s="2">
        <v>164.29999999999998</v>
      </c>
      <c r="Y63" s="48">
        <f t="shared" si="21"/>
        <v>12.599999999999994</v>
      </c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</v>
      </c>
      <c r="I64" s="18">
        <v>8.1</v>
      </c>
      <c r="J64" s="19">
        <v>8.1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</v>
      </c>
      <c r="Q64" s="282">
        <v>8.1</v>
      </c>
      <c r="R64" s="282">
        <v>8.3000000000000007</v>
      </c>
      <c r="S64" s="282">
        <v>2.1</v>
      </c>
      <c r="T64" s="282">
        <v>7.8</v>
      </c>
      <c r="U64" s="282">
        <v>8.1</v>
      </c>
      <c r="V64" s="283">
        <v>7.7</v>
      </c>
      <c r="W64" s="264">
        <f t="shared" si="20"/>
        <v>151.69999999999999</v>
      </c>
      <c r="X64" s="2">
        <v>164.29999999999998</v>
      </c>
      <c r="Y64" s="48">
        <f t="shared" si="21"/>
        <v>12.599999999999994</v>
      </c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</v>
      </c>
      <c r="I65" s="18">
        <v>8.1</v>
      </c>
      <c r="J65" s="19">
        <v>8.1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</v>
      </c>
      <c r="Q65" s="282">
        <v>8.1</v>
      </c>
      <c r="R65" s="282">
        <v>8</v>
      </c>
      <c r="S65" s="282">
        <v>2.1</v>
      </c>
      <c r="T65" s="282">
        <v>7.8</v>
      </c>
      <c r="U65" s="282">
        <v>8.1</v>
      </c>
      <c r="V65" s="283">
        <v>7.7</v>
      </c>
      <c r="W65" s="264">
        <f t="shared" si="20"/>
        <v>151.39999999999998</v>
      </c>
      <c r="X65" s="2">
        <v>164.29999999999998</v>
      </c>
      <c r="Y65" s="48">
        <f t="shared" si="21"/>
        <v>12.900000000000006</v>
      </c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</v>
      </c>
      <c r="I66" s="18">
        <v>8.1</v>
      </c>
      <c r="J66" s="19">
        <v>8.1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</v>
      </c>
      <c r="Q66" s="282">
        <v>8.1</v>
      </c>
      <c r="R66" s="282">
        <v>8</v>
      </c>
      <c r="S66" s="282">
        <v>2.1</v>
      </c>
      <c r="T66" s="282">
        <v>7.8</v>
      </c>
      <c r="U66" s="282">
        <v>8.1</v>
      </c>
      <c r="V66" s="283">
        <v>7.7</v>
      </c>
      <c r="W66" s="265">
        <f t="shared" si="20"/>
        <v>151.39999999999998</v>
      </c>
      <c r="X66" s="2">
        <v>164.29999999999998</v>
      </c>
      <c r="Y66" s="48">
        <f t="shared" si="21"/>
        <v>12.900000000000006</v>
      </c>
      <c r="Z66" s="2"/>
    </row>
    <row r="67" spans="1:26" ht="33.75" customHeight="1" x14ac:dyDescent="0.25">
      <c r="A67" s="182" t="s">
        <v>9</v>
      </c>
      <c r="B67" s="122">
        <f>SUM(B60:B66)</f>
        <v>55.099999999999994</v>
      </c>
      <c r="C67" s="120">
        <f>SUM(C60:C66)</f>
        <v>54.199999999999996</v>
      </c>
      <c r="D67" s="120">
        <f t="shared" ref="D67:V67" si="22">SUM(D60:D66)</f>
        <v>55.099999999999994</v>
      </c>
      <c r="E67" s="120">
        <f t="shared" si="22"/>
        <v>16.100000000000001</v>
      </c>
      <c r="F67" s="120">
        <f t="shared" si="22"/>
        <v>54.9</v>
      </c>
      <c r="G67" s="120">
        <f t="shared" si="22"/>
        <v>55.3</v>
      </c>
      <c r="H67" s="268">
        <f t="shared" si="22"/>
        <v>56.2</v>
      </c>
      <c r="I67" s="122">
        <f t="shared" si="22"/>
        <v>56.500000000000007</v>
      </c>
      <c r="J67" s="120">
        <f t="shared" si="22"/>
        <v>56.900000000000006</v>
      </c>
      <c r="K67" s="120">
        <f t="shared" si="22"/>
        <v>58.399999999999991</v>
      </c>
      <c r="L67" s="120">
        <f t="shared" si="22"/>
        <v>16.100000000000001</v>
      </c>
      <c r="M67" s="120">
        <f t="shared" si="22"/>
        <v>58.399999999999991</v>
      </c>
      <c r="N67" s="120">
        <f t="shared" si="22"/>
        <v>58.099999999999994</v>
      </c>
      <c r="O67" s="121">
        <f t="shared" si="22"/>
        <v>58</v>
      </c>
      <c r="P67" s="122">
        <f t="shared" si="22"/>
        <v>57.500000000000007</v>
      </c>
      <c r="Q67" s="120">
        <f t="shared" si="22"/>
        <v>57.300000000000004</v>
      </c>
      <c r="R67" s="120">
        <f t="shared" si="22"/>
        <v>57.099999999999994</v>
      </c>
      <c r="S67" s="120">
        <f t="shared" si="22"/>
        <v>15.299999999999999</v>
      </c>
      <c r="T67" s="120">
        <f t="shared" si="22"/>
        <v>55.999999999999993</v>
      </c>
      <c r="U67" s="120">
        <f t="shared" si="22"/>
        <v>57.300000000000004</v>
      </c>
      <c r="V67" s="121">
        <f t="shared" si="22"/>
        <v>54.300000000000004</v>
      </c>
      <c r="W67" s="263">
        <f>SUM(W60:W66)</f>
        <v>1064.0999999999999</v>
      </c>
      <c r="X67" s="2">
        <v>1149.3999999999999</v>
      </c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154.17270356418427</v>
      </c>
      <c r="X68" s="2">
        <v>154.17840375586852</v>
      </c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53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53</v>
      </c>
      <c r="Q69" s="27">
        <v>53</v>
      </c>
      <c r="R69" s="27">
        <v>52</v>
      </c>
      <c r="S69" s="27">
        <v>14</v>
      </c>
      <c r="T69" s="27">
        <v>52</v>
      </c>
      <c r="U69" s="27">
        <v>53</v>
      </c>
      <c r="V69" s="28">
        <v>51</v>
      </c>
      <c r="W69" s="29">
        <f>SUM(B69:V69)</f>
        <v>986</v>
      </c>
      <c r="X69" s="244">
        <v>1065</v>
      </c>
    </row>
    <row r="70" spans="1:26" ht="33.75" customHeight="1" x14ac:dyDescent="0.25">
      <c r="A70" s="150" t="s">
        <v>13</v>
      </c>
      <c r="B70" s="358">
        <f>((((B68*7)*B69)/1000)-(B60+B61))/5</f>
        <v>7.8756000000000004</v>
      </c>
      <c r="C70" s="31">
        <f t="shared" ref="C70:V70" si="23">((((C68*7)*C69)/1000)-(C60+C61))/5</f>
        <v>7.7750000000000004</v>
      </c>
      <c r="D70" s="31">
        <f t="shared" si="23"/>
        <v>7.9112999999999998</v>
      </c>
      <c r="E70" s="31">
        <f t="shared" si="23"/>
        <v>2.2930000000000001</v>
      </c>
      <c r="F70" s="31">
        <f t="shared" si="23"/>
        <v>7.9156000000000004</v>
      </c>
      <c r="G70" s="31">
        <f t="shared" si="23"/>
        <v>7.9069999999999991</v>
      </c>
      <c r="H70" s="464">
        <f t="shared" si="23"/>
        <v>8.0076000000000001</v>
      </c>
      <c r="I70" s="358">
        <f t="shared" si="23"/>
        <v>8.1155000000000008</v>
      </c>
      <c r="J70" s="31">
        <f t="shared" si="23"/>
        <v>8.1468000000000007</v>
      </c>
      <c r="K70" s="31">
        <f t="shared" si="23"/>
        <v>8.3624000000000009</v>
      </c>
      <c r="L70" s="31">
        <f t="shared" si="23"/>
        <v>2.3140000000000005</v>
      </c>
      <c r="M70" s="31">
        <f t="shared" si="23"/>
        <v>8.3624000000000009</v>
      </c>
      <c r="N70" s="31">
        <f t="shared" si="23"/>
        <v>8.2846000000000011</v>
      </c>
      <c r="O70" s="322">
        <f t="shared" si="23"/>
        <v>8.1668000000000003</v>
      </c>
      <c r="P70" s="30">
        <f t="shared" si="23"/>
        <v>8.1380999999999997</v>
      </c>
      <c r="Q70" s="31">
        <f t="shared" si="23"/>
        <v>8.141</v>
      </c>
      <c r="R70" s="31">
        <f t="shared" si="23"/>
        <v>8.0440000000000005</v>
      </c>
      <c r="S70" s="31">
        <f t="shared" si="23"/>
        <v>2.0878000000000001</v>
      </c>
      <c r="T70" s="31">
        <f t="shared" si="23"/>
        <v>7.8111999999999995</v>
      </c>
      <c r="U70" s="31">
        <f t="shared" si="23"/>
        <v>8.0668000000000006</v>
      </c>
      <c r="V70" s="32">
        <f t="shared" si="23"/>
        <v>7.7284999999999995</v>
      </c>
      <c r="W70" s="362">
        <f>((W67*1000)/7)/W69</f>
        <v>154.1727035641843</v>
      </c>
      <c r="X70" s="244">
        <v>154.17840375586852</v>
      </c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4">((D69*D68)*7)/1000</f>
        <v>55.156500000000001</v>
      </c>
      <c r="E71" s="282">
        <f t="shared" si="24"/>
        <v>16.065000000000001</v>
      </c>
      <c r="F71" s="282">
        <f t="shared" si="24"/>
        <v>54.978000000000002</v>
      </c>
      <c r="G71" s="282">
        <f t="shared" si="24"/>
        <v>55.335000000000001</v>
      </c>
      <c r="H71" s="283">
        <f t="shared" si="24"/>
        <v>56.238</v>
      </c>
      <c r="I71" s="281">
        <f t="shared" si="24"/>
        <v>56.577500000000001</v>
      </c>
      <c r="J71" s="282">
        <f t="shared" si="24"/>
        <v>57.134</v>
      </c>
      <c r="K71" s="282">
        <f t="shared" si="24"/>
        <v>58.212000000000003</v>
      </c>
      <c r="L71" s="282">
        <f t="shared" si="24"/>
        <v>16.170000000000002</v>
      </c>
      <c r="M71" s="282">
        <f t="shared" si="24"/>
        <v>58.212000000000003</v>
      </c>
      <c r="N71" s="282">
        <f t="shared" si="24"/>
        <v>58.023000000000003</v>
      </c>
      <c r="O71" s="284">
        <f t="shared" si="24"/>
        <v>57.834000000000003</v>
      </c>
      <c r="P71" s="281">
        <f t="shared" si="24"/>
        <v>57.6905</v>
      </c>
      <c r="Q71" s="282">
        <f t="shared" si="24"/>
        <v>57.505000000000003</v>
      </c>
      <c r="R71" s="282">
        <f t="shared" si="24"/>
        <v>56.42</v>
      </c>
      <c r="S71" s="282">
        <f t="shared" si="24"/>
        <v>15.239000000000001</v>
      </c>
      <c r="T71" s="282">
        <f t="shared" si="24"/>
        <v>56.055999999999997</v>
      </c>
      <c r="U71" s="282">
        <f t="shared" si="24"/>
        <v>57.134</v>
      </c>
      <c r="V71" s="284">
        <f t="shared" si="24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154.34173669467785</v>
      </c>
      <c r="C72" s="38">
        <f t="shared" ref="C72:V72" si="25">+(C67/C69)/7*1000</f>
        <v>154.85714285714283</v>
      </c>
      <c r="D72" s="38">
        <f t="shared" si="25"/>
        <v>154.34173669467785</v>
      </c>
      <c r="E72" s="38">
        <f t="shared" si="25"/>
        <v>153.33333333333334</v>
      </c>
      <c r="F72" s="38">
        <f t="shared" si="25"/>
        <v>153.781512605042</v>
      </c>
      <c r="G72" s="38">
        <f t="shared" si="25"/>
        <v>154.9019607843137</v>
      </c>
      <c r="H72" s="158">
        <f t="shared" si="25"/>
        <v>154.39560439560444</v>
      </c>
      <c r="I72" s="37">
        <f t="shared" si="25"/>
        <v>152.29110512129381</v>
      </c>
      <c r="J72" s="38">
        <f t="shared" si="25"/>
        <v>153.36927223719678</v>
      </c>
      <c r="K72" s="38">
        <f t="shared" si="25"/>
        <v>154.49735449735448</v>
      </c>
      <c r="L72" s="38">
        <f t="shared" si="25"/>
        <v>153.33333333333334</v>
      </c>
      <c r="M72" s="38">
        <f t="shared" si="25"/>
        <v>154.49735449735448</v>
      </c>
      <c r="N72" s="38">
        <f t="shared" si="25"/>
        <v>153.70370370370367</v>
      </c>
      <c r="O72" s="39">
        <f t="shared" si="25"/>
        <v>153.43915343915347</v>
      </c>
      <c r="P72" s="37">
        <f t="shared" si="25"/>
        <v>154.98652291105122</v>
      </c>
      <c r="Q72" s="38">
        <f t="shared" si="25"/>
        <v>154.44743935309972</v>
      </c>
      <c r="R72" s="38">
        <f t="shared" si="25"/>
        <v>156.86813186813183</v>
      </c>
      <c r="S72" s="38">
        <f t="shared" si="25"/>
        <v>156.12244897959181</v>
      </c>
      <c r="T72" s="38">
        <f t="shared" si="25"/>
        <v>153.84615384615384</v>
      </c>
      <c r="U72" s="38">
        <f t="shared" si="25"/>
        <v>154.44743935309972</v>
      </c>
      <c r="V72" s="39">
        <f t="shared" si="25"/>
        <v>152.10084033613444</v>
      </c>
      <c r="W72" s="40"/>
    </row>
    <row r="73" spans="1:26" ht="33.75" customHeight="1" x14ac:dyDescent="0.25">
      <c r="A73" s="41"/>
      <c r="B73" s="42">
        <f>B71-B67</f>
        <v>-0.12199999999999278</v>
      </c>
      <c r="C73" s="42">
        <f t="shared" ref="C73:V74" si="26">C71-C67</f>
        <v>-0.12499999999999289</v>
      </c>
      <c r="D73" s="42">
        <f t="shared" si="26"/>
        <v>5.6500000000006878E-2</v>
      </c>
      <c r="E73" s="42">
        <f t="shared" si="26"/>
        <v>-3.5000000000000142E-2</v>
      </c>
      <c r="F73" s="42">
        <f t="shared" si="26"/>
        <v>7.8000000000002956E-2</v>
      </c>
      <c r="G73" s="42">
        <f t="shared" si="26"/>
        <v>3.5000000000003695E-2</v>
      </c>
      <c r="H73" s="42">
        <f t="shared" si="26"/>
        <v>3.7999999999996703E-2</v>
      </c>
      <c r="I73" s="42">
        <f t="shared" si="26"/>
        <v>7.7499999999993463E-2</v>
      </c>
      <c r="J73" s="42">
        <f t="shared" si="26"/>
        <v>0.23399999999999466</v>
      </c>
      <c r="K73" s="42">
        <f t="shared" si="26"/>
        <v>-0.18799999999998818</v>
      </c>
      <c r="L73" s="42">
        <f t="shared" si="26"/>
        <v>7.0000000000000284E-2</v>
      </c>
      <c r="M73" s="42">
        <f t="shared" si="26"/>
        <v>-0.18799999999998818</v>
      </c>
      <c r="N73" s="42">
        <f t="shared" si="26"/>
        <v>-7.6999999999991076E-2</v>
      </c>
      <c r="O73" s="42">
        <f t="shared" si="26"/>
        <v>-0.16599999999999682</v>
      </c>
      <c r="P73" s="42">
        <f t="shared" si="26"/>
        <v>0.19049999999999301</v>
      </c>
      <c r="Q73" s="42">
        <f t="shared" si="26"/>
        <v>0.20499999999999829</v>
      </c>
      <c r="R73" s="42">
        <f t="shared" si="26"/>
        <v>-0.67999999999999261</v>
      </c>
      <c r="S73" s="42">
        <f t="shared" si="26"/>
        <v>-6.0999999999998167E-2</v>
      </c>
      <c r="T73" s="42">
        <f t="shared" si="26"/>
        <v>5.6000000000004491E-2</v>
      </c>
      <c r="U73" s="42">
        <f t="shared" si="26"/>
        <v>-0.16600000000000392</v>
      </c>
      <c r="V73" s="42">
        <f t="shared" si="26"/>
        <v>0.14249999999999829</v>
      </c>
      <c r="W73" s="42"/>
      <c r="X73" s="42"/>
    </row>
    <row r="74" spans="1:26" ht="33.75" customHeight="1" x14ac:dyDescent="0.25">
      <c r="A74" s="41"/>
      <c r="B74" s="42">
        <f>B72-B68</f>
        <v>0.34173669467784862</v>
      </c>
      <c r="C74" s="42">
        <f t="shared" si="26"/>
        <v>0.35714285714283278</v>
      </c>
      <c r="D74" s="42">
        <f t="shared" si="26"/>
        <v>-0.15826330532215138</v>
      </c>
      <c r="E74" s="42">
        <f t="shared" si="26"/>
        <v>0.33333333333334281</v>
      </c>
      <c r="F74" s="42">
        <f t="shared" si="26"/>
        <v>-0.21848739495800373</v>
      </c>
      <c r="G74" s="42">
        <f t="shared" si="26"/>
        <v>-9.803921568629903E-2</v>
      </c>
      <c r="H74" s="42">
        <f t="shared" si="26"/>
        <v>-0.10439560439556317</v>
      </c>
      <c r="I74" s="42">
        <f t="shared" si="26"/>
        <v>-0.2088948787061895</v>
      </c>
      <c r="J74" s="42">
        <f t="shared" si="26"/>
        <v>-0.63072776280321818</v>
      </c>
      <c r="K74" s="42">
        <f t="shared" si="26"/>
        <v>0.49735449735447901</v>
      </c>
      <c r="L74" s="42">
        <f t="shared" si="26"/>
        <v>-0.66666666666665719</v>
      </c>
      <c r="M74" s="42">
        <f t="shared" si="26"/>
        <v>0.49735449735447901</v>
      </c>
      <c r="N74" s="42">
        <f t="shared" si="26"/>
        <v>0.20370370370366686</v>
      </c>
      <c r="O74" s="42">
        <f t="shared" si="26"/>
        <v>0.43915343915347194</v>
      </c>
      <c r="P74" s="42">
        <f t="shared" si="26"/>
        <v>-0.51347708894877542</v>
      </c>
      <c r="Q74" s="42">
        <f>Q72-Q68</f>
        <v>-0.55256064690027529</v>
      </c>
      <c r="R74" s="42">
        <f t="shared" si="26"/>
        <v>1.868131868131826</v>
      </c>
      <c r="S74" s="42">
        <f t="shared" si="26"/>
        <v>0.62244897959180889</v>
      </c>
      <c r="T74" s="42">
        <f t="shared" si="26"/>
        <v>-0.15384615384616041</v>
      </c>
      <c r="U74" s="42">
        <f t="shared" si="26"/>
        <v>0.44743935309972471</v>
      </c>
      <c r="V74" s="42">
        <f t="shared" si="26"/>
        <v>-0.39915966386556079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>
        <f>B69*B77</f>
        <v>7.78909090909091</v>
      </c>
      <c r="C76" s="42">
        <f t="shared" ref="C76:V76" si="27">C69*C77</f>
        <v>7.6363636363636367</v>
      </c>
      <c r="D76" s="42">
        <f t="shared" si="27"/>
        <v>7.8321428571428564</v>
      </c>
      <c r="E76" s="42">
        <f t="shared" si="27"/>
        <v>2.2941176470588238</v>
      </c>
      <c r="F76" s="42">
        <f t="shared" si="27"/>
        <v>7.7444444444444445</v>
      </c>
      <c r="G76" s="42">
        <f t="shared" si="27"/>
        <v>7.8818181818181818</v>
      </c>
      <c r="H76" s="42">
        <f t="shared" si="27"/>
        <v>8.1309090909090891</v>
      </c>
      <c r="I76" s="42">
        <f t="shared" si="27"/>
        <v>8.0413793103448281</v>
      </c>
      <c r="J76" s="42">
        <f t="shared" si="27"/>
        <v>8.1824561403508778</v>
      </c>
      <c r="K76" s="42">
        <f t="shared" si="27"/>
        <v>8.2372881355932215</v>
      </c>
      <c r="L76" s="42">
        <f t="shared" si="27"/>
        <v>2.3333333333333335</v>
      </c>
      <c r="M76" s="42">
        <f t="shared" si="27"/>
        <v>8.1931034482758633</v>
      </c>
      <c r="N76" s="42">
        <f t="shared" si="27"/>
        <v>8.2928571428571427</v>
      </c>
      <c r="O76" s="42">
        <f t="shared" si="27"/>
        <v>8.4857142857142875</v>
      </c>
      <c r="P76" s="42">
        <f t="shared" si="27"/>
        <v>8.4614035087719301</v>
      </c>
      <c r="Q76" s="42">
        <f t="shared" si="27"/>
        <v>8.3684210526315788</v>
      </c>
      <c r="R76" s="42">
        <f t="shared" si="27"/>
        <v>7.9368421052631568</v>
      </c>
      <c r="S76" s="42">
        <f t="shared" si="27"/>
        <v>2.4266666666666667</v>
      </c>
      <c r="T76" s="42">
        <f t="shared" si="27"/>
        <v>8.5428571428571427</v>
      </c>
      <c r="U76" s="42">
        <f t="shared" si="27"/>
        <v>8.3684210526315788</v>
      </c>
      <c r="V76" s="42">
        <f t="shared" si="27"/>
        <v>7.8736842105263163</v>
      </c>
    </row>
    <row r="77" spans="1:26" ht="33.75" customHeight="1" x14ac:dyDescent="0.25">
      <c r="A77" s="45"/>
      <c r="B77" s="41">
        <v>0.15272727272727274</v>
      </c>
      <c r="C77" s="41">
        <v>0.15272727272727274</v>
      </c>
      <c r="D77" s="41">
        <v>0.15357142857142855</v>
      </c>
      <c r="E77" s="41">
        <v>0.15294117647058825</v>
      </c>
      <c r="F77" s="41">
        <v>0.15185185185185185</v>
      </c>
      <c r="G77" s="41">
        <v>0.15454545454545454</v>
      </c>
      <c r="H77" s="41">
        <v>0.15636363636363634</v>
      </c>
      <c r="I77" s="41">
        <v>0.15172413793103451</v>
      </c>
      <c r="J77" s="41">
        <v>0.15438596491228071</v>
      </c>
      <c r="K77" s="41">
        <v>0.15254237288135594</v>
      </c>
      <c r="L77" s="41">
        <v>0.15555555555555556</v>
      </c>
      <c r="M77" s="41">
        <v>0.15172413793103451</v>
      </c>
      <c r="N77" s="41">
        <v>0.15357142857142855</v>
      </c>
      <c r="O77" s="41">
        <v>0.15714285714285717</v>
      </c>
      <c r="P77" s="41">
        <v>0.15964912280701754</v>
      </c>
      <c r="Q77" s="41">
        <v>0.15789473684210525</v>
      </c>
      <c r="R77" s="41">
        <v>0.1526315789473684</v>
      </c>
      <c r="S77" s="41">
        <v>0.17333333333333334</v>
      </c>
      <c r="T77" s="41">
        <v>0.16428571428571428</v>
      </c>
      <c r="U77" s="41">
        <v>0.15789473684210525</v>
      </c>
      <c r="V77" s="41"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47"/>
  <dimension ref="A1:AE244"/>
  <sheetViews>
    <sheetView topLeftCell="A17" zoomScale="30" zoomScaleNormal="30" workbookViewId="0">
      <selection activeCell="H52" sqref="H52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31</v>
      </c>
      <c r="Q11" s="1022"/>
      <c r="R11" s="6"/>
      <c r="S11" s="1" t="s">
        <v>6</v>
      </c>
      <c r="T11" s="95">
        <v>45592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497">
        <v>94.5</v>
      </c>
      <c r="E18" s="497">
        <v>28.7</v>
      </c>
      <c r="F18" s="497">
        <v>96.5</v>
      </c>
      <c r="G18" s="497">
        <v>95.3</v>
      </c>
      <c r="H18" s="498">
        <v>95.5</v>
      </c>
      <c r="I18" s="126">
        <v>100.3</v>
      </c>
      <c r="J18" s="497">
        <v>98.5</v>
      </c>
      <c r="K18" s="497">
        <v>100.3</v>
      </c>
      <c r="L18" s="497">
        <v>29.5</v>
      </c>
      <c r="M18" s="497">
        <v>100.1</v>
      </c>
      <c r="N18" s="497">
        <v>100.6</v>
      </c>
      <c r="O18" s="497">
        <v>100.4</v>
      </c>
      <c r="P18" s="133">
        <v>100.7</v>
      </c>
      <c r="Q18" s="497">
        <v>101.9</v>
      </c>
      <c r="R18" s="497">
        <v>99.1</v>
      </c>
      <c r="S18" s="497">
        <v>30.8</v>
      </c>
      <c r="T18" s="497">
        <v>101.1</v>
      </c>
      <c r="U18" s="497">
        <v>100.6</v>
      </c>
      <c r="V18" s="498">
        <v>100.7</v>
      </c>
      <c r="W18" s="543">
        <f t="shared" ref="W18:W24" si="0">SUM(B18:V18)</f>
        <v>1866.2999999999997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94.5</v>
      </c>
      <c r="E19" s="497">
        <v>28.3</v>
      </c>
      <c r="F19" s="497">
        <v>96.5</v>
      </c>
      <c r="G19" s="497">
        <v>95.3</v>
      </c>
      <c r="H19" s="498">
        <v>95.5</v>
      </c>
      <c r="I19" s="126">
        <v>100.1</v>
      </c>
      <c r="J19" s="497">
        <v>98.5</v>
      </c>
      <c r="K19" s="497">
        <v>100.3</v>
      </c>
      <c r="L19" s="497">
        <v>29.5</v>
      </c>
      <c r="M19" s="497">
        <v>100.1</v>
      </c>
      <c r="N19" s="497">
        <v>100.6</v>
      </c>
      <c r="O19" s="497">
        <v>100.4</v>
      </c>
      <c r="P19" s="133">
        <v>100.7</v>
      </c>
      <c r="Q19" s="497">
        <v>101.9</v>
      </c>
      <c r="R19" s="497">
        <v>99.1</v>
      </c>
      <c r="S19" s="497">
        <v>30.8</v>
      </c>
      <c r="T19" s="497">
        <v>101.1</v>
      </c>
      <c r="U19" s="497">
        <v>100.6</v>
      </c>
      <c r="V19" s="498">
        <v>100.7</v>
      </c>
      <c r="W19" s="543">
        <f>SUM(B19:V19)</f>
        <v>1865.6999999999998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94.4</v>
      </c>
      <c r="E20" s="497">
        <v>28.3</v>
      </c>
      <c r="F20" s="497">
        <v>96.5</v>
      </c>
      <c r="G20" s="497">
        <v>95.3</v>
      </c>
      <c r="H20" s="498">
        <v>95.5</v>
      </c>
      <c r="I20" s="126">
        <v>100.1</v>
      </c>
      <c r="J20" s="497">
        <v>98.5</v>
      </c>
      <c r="K20" s="497">
        <v>100.3</v>
      </c>
      <c r="L20" s="497">
        <v>29.5</v>
      </c>
      <c r="M20" s="497">
        <v>100.1</v>
      </c>
      <c r="N20" s="497">
        <v>100.6</v>
      </c>
      <c r="O20" s="497">
        <v>100.4</v>
      </c>
      <c r="P20" s="133">
        <v>100.7</v>
      </c>
      <c r="Q20" s="497">
        <v>101.7</v>
      </c>
      <c r="R20" s="497">
        <v>99.1</v>
      </c>
      <c r="S20" s="497">
        <v>30.8</v>
      </c>
      <c r="T20" s="497">
        <v>101.1</v>
      </c>
      <c r="U20" s="497">
        <v>100.6</v>
      </c>
      <c r="V20" s="498">
        <v>100.7</v>
      </c>
      <c r="W20" s="543">
        <f t="shared" si="0"/>
        <v>1865.3999999999999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95.5</v>
      </c>
      <c r="D21" s="497">
        <v>94.4</v>
      </c>
      <c r="E21" s="497">
        <v>28.3</v>
      </c>
      <c r="F21" s="497">
        <v>96.5</v>
      </c>
      <c r="G21" s="497">
        <v>95.3</v>
      </c>
      <c r="H21" s="498">
        <v>95.5</v>
      </c>
      <c r="I21" s="126">
        <v>99.9</v>
      </c>
      <c r="J21" s="497">
        <v>98.5</v>
      </c>
      <c r="K21" s="497">
        <v>100.1</v>
      </c>
      <c r="L21" s="497">
        <v>29.5</v>
      </c>
      <c r="M21" s="497">
        <v>100.1</v>
      </c>
      <c r="N21" s="497">
        <v>100.6</v>
      </c>
      <c r="O21" s="497">
        <v>100.4</v>
      </c>
      <c r="P21" s="133">
        <v>100.7</v>
      </c>
      <c r="Q21" s="497">
        <v>101.7</v>
      </c>
      <c r="R21" s="497">
        <v>99.1</v>
      </c>
      <c r="S21" s="497">
        <v>30.8</v>
      </c>
      <c r="T21" s="497">
        <v>101.1</v>
      </c>
      <c r="U21" s="497">
        <v>100.6</v>
      </c>
      <c r="V21" s="498">
        <v>100.6</v>
      </c>
      <c r="W21" s="98">
        <f t="shared" si="0"/>
        <v>1864.6999999999996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95.5</v>
      </c>
      <c r="D22" s="497">
        <v>94.4</v>
      </c>
      <c r="E22" s="497">
        <v>28.2</v>
      </c>
      <c r="F22" s="497">
        <v>96.5</v>
      </c>
      <c r="G22" s="497">
        <v>95.3</v>
      </c>
      <c r="H22" s="498">
        <v>95.3</v>
      </c>
      <c r="I22" s="126">
        <v>99.9</v>
      </c>
      <c r="J22" s="497">
        <v>98.5</v>
      </c>
      <c r="K22" s="497">
        <v>100.1</v>
      </c>
      <c r="L22" s="497">
        <v>29.5</v>
      </c>
      <c r="M22" s="497">
        <v>100.1</v>
      </c>
      <c r="N22" s="497">
        <v>100.3</v>
      </c>
      <c r="O22" s="497">
        <v>100.4</v>
      </c>
      <c r="P22" s="133">
        <v>100.7</v>
      </c>
      <c r="Q22" s="497">
        <v>101.7</v>
      </c>
      <c r="R22" s="497">
        <v>99.1</v>
      </c>
      <c r="S22" s="497">
        <v>30.8</v>
      </c>
      <c r="T22" s="497">
        <v>101.1</v>
      </c>
      <c r="U22" s="497">
        <v>100.6</v>
      </c>
      <c r="V22" s="498">
        <v>100.4</v>
      </c>
      <c r="W22" s="98">
        <f t="shared" si="0"/>
        <v>1863.8999999999999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95.3</v>
      </c>
      <c r="C23" s="497">
        <v>95.3</v>
      </c>
      <c r="D23" s="497">
        <v>94.4</v>
      </c>
      <c r="E23" s="497">
        <v>28.2</v>
      </c>
      <c r="F23" s="497">
        <v>96.5</v>
      </c>
      <c r="G23" s="497">
        <v>95.2</v>
      </c>
      <c r="H23" s="498">
        <v>95.3</v>
      </c>
      <c r="I23" s="126">
        <v>99.9</v>
      </c>
      <c r="J23" s="497">
        <v>98.5</v>
      </c>
      <c r="K23" s="497">
        <v>100.1</v>
      </c>
      <c r="L23" s="497">
        <v>29.3</v>
      </c>
      <c r="M23" s="497">
        <v>100.1</v>
      </c>
      <c r="N23" s="497">
        <v>100.3</v>
      </c>
      <c r="O23" s="497">
        <v>100.4</v>
      </c>
      <c r="P23" s="133">
        <v>100.7</v>
      </c>
      <c r="Q23" s="497">
        <v>101.7</v>
      </c>
      <c r="R23" s="497">
        <v>99.1</v>
      </c>
      <c r="S23" s="497">
        <v>30.8</v>
      </c>
      <c r="T23" s="497">
        <v>101.1</v>
      </c>
      <c r="U23" s="497">
        <v>100.6</v>
      </c>
      <c r="V23" s="498">
        <v>100.4</v>
      </c>
      <c r="W23" s="98">
        <f t="shared" si="0"/>
        <v>1863.1999999999998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95.3</v>
      </c>
      <c r="C24" s="497">
        <v>95.2</v>
      </c>
      <c r="D24" s="497">
        <v>94.4</v>
      </c>
      <c r="E24" s="497">
        <v>28.2</v>
      </c>
      <c r="F24" s="497">
        <v>96.5</v>
      </c>
      <c r="G24" s="497">
        <v>95.2</v>
      </c>
      <c r="H24" s="498">
        <v>95.3</v>
      </c>
      <c r="I24" s="126">
        <v>99.8</v>
      </c>
      <c r="J24" s="497">
        <v>98.5</v>
      </c>
      <c r="K24" s="497">
        <v>100.1</v>
      </c>
      <c r="L24" s="497">
        <v>29.3</v>
      </c>
      <c r="M24" s="497">
        <v>100.1</v>
      </c>
      <c r="N24" s="497">
        <v>100.3</v>
      </c>
      <c r="O24" s="497">
        <v>100.4</v>
      </c>
      <c r="P24" s="133">
        <v>100.4</v>
      </c>
      <c r="Q24" s="497">
        <v>101.7</v>
      </c>
      <c r="R24" s="497">
        <v>99.1</v>
      </c>
      <c r="S24" s="497">
        <v>30.8</v>
      </c>
      <c r="T24" s="497">
        <v>101.1</v>
      </c>
      <c r="U24" s="497">
        <v>100.4</v>
      </c>
      <c r="V24" s="498">
        <v>100.4</v>
      </c>
      <c r="W24" s="98">
        <f t="shared" si="0"/>
        <v>1862.5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668.09999999999991</v>
      </c>
      <c r="C25" s="120">
        <f>SUM(C18:C24)</f>
        <v>668.6</v>
      </c>
      <c r="D25" s="120">
        <f t="shared" ref="D25:V25" si="1">SUM(D18:D24)</f>
        <v>660.99999999999989</v>
      </c>
      <c r="E25" s="120">
        <f t="shared" si="1"/>
        <v>198.19999999999996</v>
      </c>
      <c r="F25" s="120">
        <f t="shared" si="1"/>
        <v>675.5</v>
      </c>
      <c r="G25" s="120">
        <f t="shared" si="1"/>
        <v>666.90000000000009</v>
      </c>
      <c r="H25" s="121">
        <f t="shared" si="1"/>
        <v>667.9</v>
      </c>
      <c r="I25" s="122">
        <f t="shared" si="1"/>
        <v>699.99999999999989</v>
      </c>
      <c r="J25" s="120">
        <f t="shared" si="1"/>
        <v>689.5</v>
      </c>
      <c r="K25" s="120">
        <f t="shared" si="1"/>
        <v>701.30000000000007</v>
      </c>
      <c r="L25" s="120">
        <f t="shared" si="1"/>
        <v>206.10000000000002</v>
      </c>
      <c r="M25" s="120">
        <f t="shared" si="1"/>
        <v>700.7</v>
      </c>
      <c r="N25" s="120">
        <f t="shared" si="1"/>
        <v>703.3</v>
      </c>
      <c r="O25" s="121">
        <f t="shared" si="1"/>
        <v>702.8</v>
      </c>
      <c r="P25" s="122">
        <f t="shared" si="1"/>
        <v>704.6</v>
      </c>
      <c r="Q25" s="120">
        <f t="shared" si="1"/>
        <v>712.30000000000007</v>
      </c>
      <c r="R25" s="120">
        <f t="shared" si="1"/>
        <v>693.7</v>
      </c>
      <c r="S25" s="120">
        <f t="shared" si="1"/>
        <v>215.60000000000002</v>
      </c>
      <c r="T25" s="120">
        <f t="shared" si="1"/>
        <v>707.7</v>
      </c>
      <c r="U25" s="120">
        <f t="shared" si="1"/>
        <v>704</v>
      </c>
      <c r="V25" s="121">
        <f t="shared" si="1"/>
        <v>703.9</v>
      </c>
      <c r="W25" s="361">
        <f>SUM(W18:W24)</f>
        <v>13051.7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164.00110576379379</v>
      </c>
    </row>
    <row r="27" spans="1:31" s="2" customFormat="1" ht="33" customHeight="1" x14ac:dyDescent="0.25">
      <c r="A27" s="149" t="s">
        <v>12</v>
      </c>
      <c r="B27" s="26">
        <v>582</v>
      </c>
      <c r="C27" s="27">
        <v>581</v>
      </c>
      <c r="D27" s="27">
        <v>576</v>
      </c>
      <c r="E27" s="27">
        <v>172</v>
      </c>
      <c r="F27" s="27">
        <v>589</v>
      </c>
      <c r="G27" s="27">
        <v>581</v>
      </c>
      <c r="H27" s="28">
        <v>582</v>
      </c>
      <c r="I27" s="26">
        <v>609</v>
      </c>
      <c r="J27" s="27">
        <v>601</v>
      </c>
      <c r="K27" s="27">
        <v>611</v>
      </c>
      <c r="L27" s="27">
        <v>179</v>
      </c>
      <c r="M27" s="27">
        <v>611</v>
      </c>
      <c r="N27" s="27">
        <v>612</v>
      </c>
      <c r="O27" s="28">
        <v>613</v>
      </c>
      <c r="P27" s="26">
        <v>613</v>
      </c>
      <c r="Q27" s="27">
        <v>621</v>
      </c>
      <c r="R27" s="27">
        <v>605</v>
      </c>
      <c r="S27" s="27">
        <v>188</v>
      </c>
      <c r="T27" s="27">
        <v>617</v>
      </c>
      <c r="U27" s="27">
        <v>613</v>
      </c>
      <c r="V27" s="28">
        <v>613</v>
      </c>
      <c r="W27" s="29">
        <f>SUM(B27:V27)</f>
        <v>11369</v>
      </c>
    </row>
    <row r="28" spans="1:31" s="2" customFormat="1" ht="33" customHeight="1" x14ac:dyDescent="0.25">
      <c r="A28" s="150" t="s">
        <v>13</v>
      </c>
      <c r="B28" s="30">
        <f>((((B26*7)*B27)/1000))/7</f>
        <v>95.343240000000009</v>
      </c>
      <c r="C28" s="31">
        <f t="shared" ref="C28:V28" si="2">((((C26*7)*C27)/1000))/7</f>
        <v>95.179420000000007</v>
      </c>
      <c r="D28" s="31">
        <f t="shared" si="2"/>
        <v>94.360320000000002</v>
      </c>
      <c r="E28" s="31">
        <f t="shared" si="2"/>
        <v>28.177040000000002</v>
      </c>
      <c r="F28" s="31">
        <f t="shared" si="2"/>
        <v>96.489979999999989</v>
      </c>
      <c r="G28" s="31">
        <f t="shared" si="2"/>
        <v>95.179420000000007</v>
      </c>
      <c r="H28" s="32">
        <f t="shared" si="2"/>
        <v>95.343240000000009</v>
      </c>
      <c r="I28" s="30">
        <f t="shared" si="2"/>
        <v>99.766380000000012</v>
      </c>
      <c r="J28" s="31">
        <f t="shared" si="2"/>
        <v>98.455820000000003</v>
      </c>
      <c r="K28" s="31">
        <f t="shared" si="2"/>
        <v>100.09402</v>
      </c>
      <c r="L28" s="31">
        <f t="shared" si="2"/>
        <v>29.323779999999999</v>
      </c>
      <c r="M28" s="31">
        <f t="shared" si="2"/>
        <v>100.09402</v>
      </c>
      <c r="N28" s="31">
        <f t="shared" si="2"/>
        <v>100.25784</v>
      </c>
      <c r="O28" s="32">
        <f t="shared" si="2"/>
        <v>100.42166</v>
      </c>
      <c r="P28" s="30">
        <f t="shared" si="2"/>
        <v>100.42166</v>
      </c>
      <c r="Q28" s="31">
        <f t="shared" si="2"/>
        <v>101.73222</v>
      </c>
      <c r="R28" s="31">
        <f t="shared" si="2"/>
        <v>99.111099999999993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100.42166</v>
      </c>
      <c r="W28" s="362">
        <f>((W25*1000)/7)/W27</f>
        <v>164.00110576379376</v>
      </c>
    </row>
    <row r="29" spans="1:31" ht="33.75" customHeight="1" x14ac:dyDescent="0.25">
      <c r="A29" s="151" t="s">
        <v>14</v>
      </c>
      <c r="B29" s="281">
        <f>((B27*B26)*7)/1000</f>
        <v>667.40267999999992</v>
      </c>
      <c r="C29" s="282">
        <f>((C27*C26)*7)/1000</f>
        <v>666.2559399999999</v>
      </c>
      <c r="D29" s="282">
        <f t="shared" ref="D29:V29" si="3">((D27*D26)*7)/1000</f>
        <v>660.52224000000001</v>
      </c>
      <c r="E29" s="282">
        <f t="shared" si="3"/>
        <v>197.23927999999998</v>
      </c>
      <c r="F29" s="282">
        <f t="shared" si="3"/>
        <v>675.42985999999996</v>
      </c>
      <c r="G29" s="282">
        <f t="shared" si="3"/>
        <v>666.2559399999999</v>
      </c>
      <c r="H29" s="284">
        <f t="shared" si="3"/>
        <v>667.40267999999992</v>
      </c>
      <c r="I29" s="281">
        <f t="shared" si="3"/>
        <v>698.36465999999996</v>
      </c>
      <c r="J29" s="282">
        <f t="shared" si="3"/>
        <v>689.19074000000001</v>
      </c>
      <c r="K29" s="282">
        <f t="shared" si="3"/>
        <v>700.65813999999989</v>
      </c>
      <c r="L29" s="282">
        <f t="shared" si="3"/>
        <v>205.26646</v>
      </c>
      <c r="M29" s="282">
        <f t="shared" si="3"/>
        <v>700.65813999999989</v>
      </c>
      <c r="N29" s="282">
        <f t="shared" si="3"/>
        <v>701.80488000000003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712.12554</v>
      </c>
      <c r="R29" s="282">
        <f t="shared" si="3"/>
        <v>693.77769999999998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702.95161999999993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163.99116347569955</v>
      </c>
      <c r="C30" s="38">
        <f t="shared" ref="C30:V30" si="4">+(C25/C27)/7*1000</f>
        <v>164.3963609540202</v>
      </c>
      <c r="D30" s="38">
        <f t="shared" si="4"/>
        <v>163.93849206349205</v>
      </c>
      <c r="E30" s="38">
        <f t="shared" si="4"/>
        <v>164.61794019933552</v>
      </c>
      <c r="F30" s="38">
        <f t="shared" si="4"/>
        <v>163.83701188455007</v>
      </c>
      <c r="G30" s="38">
        <f t="shared" si="4"/>
        <v>163.9783624293091</v>
      </c>
      <c r="H30" s="39">
        <f t="shared" si="4"/>
        <v>163.94207167403044</v>
      </c>
      <c r="I30" s="37">
        <f t="shared" si="4"/>
        <v>164.20361247947451</v>
      </c>
      <c r="J30" s="38">
        <f t="shared" si="4"/>
        <v>163.89351081530785</v>
      </c>
      <c r="K30" s="38">
        <f t="shared" si="4"/>
        <v>163.97007248071077</v>
      </c>
      <c r="L30" s="38">
        <f t="shared" si="4"/>
        <v>164.48523543495614</v>
      </c>
      <c r="M30" s="38">
        <f t="shared" si="4"/>
        <v>163.82978723404256</v>
      </c>
      <c r="N30" s="38">
        <f t="shared" si="4"/>
        <v>164.16900093370683</v>
      </c>
      <c r="O30" s="39">
        <f t="shared" si="4"/>
        <v>163.78466557911909</v>
      </c>
      <c r="P30" s="37">
        <f t="shared" si="4"/>
        <v>164.20414821719879</v>
      </c>
      <c r="Q30" s="38">
        <f t="shared" si="4"/>
        <v>163.86013342535082</v>
      </c>
      <c r="R30" s="38">
        <f t="shared" si="4"/>
        <v>163.801652892562</v>
      </c>
      <c r="S30" s="38">
        <f t="shared" si="4"/>
        <v>163.82978723404256</v>
      </c>
      <c r="T30" s="38">
        <f t="shared" si="4"/>
        <v>163.85737439222046</v>
      </c>
      <c r="U30" s="38">
        <f t="shared" si="4"/>
        <v>164.06432067117223</v>
      </c>
      <c r="V30" s="39">
        <f t="shared" si="4"/>
        <v>164.04101608016776</v>
      </c>
      <c r="W30" s="40"/>
    </row>
    <row r="31" spans="1:31" ht="33.75" customHeight="1" x14ac:dyDescent="0.25">
      <c r="A31" s="41"/>
      <c r="B31" s="42">
        <f>B29-B25</f>
        <v>-0.69731999999999061</v>
      </c>
      <c r="C31" s="42">
        <f t="shared" ref="C31:V32" si="5">C29-C25</f>
        <v>-2.3440600000001268</v>
      </c>
      <c r="D31" s="42">
        <f t="shared" si="5"/>
        <v>-0.47775999999987562</v>
      </c>
      <c r="E31" s="42">
        <f t="shared" si="5"/>
        <v>-0.9607199999999807</v>
      </c>
      <c r="F31" s="42">
        <f t="shared" si="5"/>
        <v>-7.0140000000037617E-2</v>
      </c>
      <c r="G31" s="42">
        <f t="shared" si="5"/>
        <v>-0.64406000000019503</v>
      </c>
      <c r="H31" s="42">
        <f t="shared" si="5"/>
        <v>-0.49732000000005883</v>
      </c>
      <c r="I31" s="42">
        <f t="shared" si="5"/>
        <v>-1.6353399999999283</v>
      </c>
      <c r="J31" s="42">
        <f t="shared" si="5"/>
        <v>-0.30925999999999476</v>
      </c>
      <c r="K31" s="42">
        <f t="shared" si="5"/>
        <v>-0.64186000000017884</v>
      </c>
      <c r="L31" s="42">
        <f t="shared" si="5"/>
        <v>-0.8335400000000277</v>
      </c>
      <c r="M31" s="42">
        <f t="shared" si="5"/>
        <v>-4.1860000000156106E-2</v>
      </c>
      <c r="N31" s="42">
        <f t="shared" si="5"/>
        <v>-1.495119999999929</v>
      </c>
      <c r="O31" s="42">
        <f t="shared" si="5"/>
        <v>0.15161999999997988</v>
      </c>
      <c r="P31" s="42">
        <f t="shared" si="5"/>
        <v>-1.6483800000000883</v>
      </c>
      <c r="Q31" s="42">
        <f t="shared" si="5"/>
        <v>-0.17446000000006734</v>
      </c>
      <c r="R31" s="42">
        <f t="shared" si="5"/>
        <v>7.7699999999936153E-2</v>
      </c>
      <c r="S31" s="42">
        <f t="shared" si="5"/>
        <v>-1.2880000000023983E-2</v>
      </c>
      <c r="T31" s="42">
        <f t="shared" si="5"/>
        <v>-0.16142000000002099</v>
      </c>
      <c r="U31" s="42">
        <f t="shared" si="5"/>
        <v>-1.0483800000000656</v>
      </c>
      <c r="V31" s="42">
        <f t="shared" si="5"/>
        <v>-0.94838000000004286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0.17116347569955792</v>
      </c>
      <c r="C32" s="42">
        <f t="shared" si="5"/>
        <v>0.5763609540202026</v>
      </c>
      <c r="D32" s="42">
        <f t="shared" si="5"/>
        <v>0.11849206349205588</v>
      </c>
      <c r="E32" s="42">
        <f t="shared" si="5"/>
        <v>0.79794019933552818</v>
      </c>
      <c r="F32" s="42">
        <f t="shared" si="5"/>
        <v>1.7011884550072409E-2</v>
      </c>
      <c r="G32" s="42">
        <f t="shared" si="5"/>
        <v>0.15836242930910771</v>
      </c>
      <c r="H32" s="42">
        <f t="shared" si="5"/>
        <v>0.12207167403045105</v>
      </c>
      <c r="I32" s="42">
        <f t="shared" si="5"/>
        <v>0.38361247947452171</v>
      </c>
      <c r="J32" s="42">
        <f t="shared" si="5"/>
        <v>7.3510815307855637E-2</v>
      </c>
      <c r="K32" s="42">
        <f t="shared" si="5"/>
        <v>0.15007248071077584</v>
      </c>
      <c r="L32" s="42">
        <f t="shared" si="5"/>
        <v>0.6652354349561449</v>
      </c>
      <c r="M32" s="42">
        <f t="shared" si="5"/>
        <v>9.7872340425624316E-3</v>
      </c>
      <c r="N32" s="42">
        <f t="shared" si="5"/>
        <v>0.34900093370683294</v>
      </c>
      <c r="O32" s="42">
        <f t="shared" si="5"/>
        <v>-3.5334420880900552E-2</v>
      </c>
      <c r="P32" s="42">
        <f t="shared" si="5"/>
        <v>0.3841482171987991</v>
      </c>
      <c r="Q32" s="42">
        <f>Q30-Q26</f>
        <v>4.0133425350830976E-2</v>
      </c>
      <c r="R32" s="42">
        <f t="shared" si="5"/>
        <v>-1.8347107437989507E-2</v>
      </c>
      <c r="S32" s="42">
        <f t="shared" si="5"/>
        <v>9.7872340425624316E-3</v>
      </c>
      <c r="T32" s="42">
        <f t="shared" si="5"/>
        <v>3.7374392220471009E-2</v>
      </c>
      <c r="U32" s="42">
        <f t="shared" si="5"/>
        <v>0.24432067117223255</v>
      </c>
      <c r="V32" s="42">
        <f t="shared" si="5"/>
        <v>0.22101608016777163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46">
        <v>95.1</v>
      </c>
      <c r="C39" s="534">
        <v>94.5</v>
      </c>
      <c r="D39" s="497">
        <v>25.5</v>
      </c>
      <c r="E39" s="497">
        <v>98.1</v>
      </c>
      <c r="F39" s="497">
        <v>97.6</v>
      </c>
      <c r="G39" s="547">
        <v>99</v>
      </c>
      <c r="H39" s="544">
        <f t="shared" ref="H39:H46" si="6">SUM(B39:G39)</f>
        <v>509.79999999999995</v>
      </c>
      <c r="I39" s="49"/>
      <c r="J39" s="42"/>
      <c r="K39" s="42"/>
      <c r="L39" s="42"/>
      <c r="M39" s="2"/>
      <c r="N39" s="146" t="s">
        <v>51</v>
      </c>
      <c r="O39" s="18">
        <v>6.5</v>
      </c>
      <c r="P39" s="19">
        <v>6.9</v>
      </c>
      <c r="Q39" s="19">
        <v>1.9</v>
      </c>
      <c r="R39" s="19">
        <v>7.1</v>
      </c>
      <c r="S39" s="19">
        <v>7.3</v>
      </c>
      <c r="T39" s="19">
        <v>7.2</v>
      </c>
      <c r="U39" s="544">
        <f t="shared" ref="U39:U45" si="7">SUM(O39:T39)</f>
        <v>36.9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94.9</v>
      </c>
      <c r="C40" s="497">
        <v>94.3</v>
      </c>
      <c r="D40" s="542">
        <v>26</v>
      </c>
      <c r="E40" s="497">
        <v>98.1</v>
      </c>
      <c r="F40" s="497">
        <v>97.3</v>
      </c>
      <c r="G40" s="498">
        <v>98.7</v>
      </c>
      <c r="H40" s="545">
        <f t="shared" si="6"/>
        <v>509.29999999999995</v>
      </c>
      <c r="I40" s="309"/>
      <c r="J40" s="42"/>
      <c r="K40" s="42"/>
      <c r="L40" s="42"/>
      <c r="M40" s="2"/>
      <c r="N40" s="146" t="s">
        <v>24</v>
      </c>
      <c r="O40" s="18">
        <v>6.5</v>
      </c>
      <c r="P40" s="19">
        <v>6.8</v>
      </c>
      <c r="Q40" s="19">
        <v>1.9</v>
      </c>
      <c r="R40" s="19">
        <v>7</v>
      </c>
      <c r="S40" s="19">
        <v>7.3</v>
      </c>
      <c r="T40" s="19">
        <v>7.2</v>
      </c>
      <c r="U40" s="545">
        <f t="shared" si="7"/>
        <v>36.700000000000003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94.6</v>
      </c>
      <c r="C41" s="497">
        <v>94.3</v>
      </c>
      <c r="D41" s="497">
        <v>25.7</v>
      </c>
      <c r="E41" s="497">
        <v>97.6</v>
      </c>
      <c r="F41" s="497">
        <v>97.3</v>
      </c>
      <c r="G41" s="498">
        <v>98.2</v>
      </c>
      <c r="H41" s="545">
        <f t="shared" si="6"/>
        <v>507.69999999999993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2</v>
      </c>
      <c r="R41" s="19">
        <v>6.8</v>
      </c>
      <c r="S41" s="19">
        <v>7.3</v>
      </c>
      <c r="T41" s="19">
        <v>7.3</v>
      </c>
      <c r="U41" s="545">
        <f t="shared" si="7"/>
        <v>37.1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94.6</v>
      </c>
      <c r="C42" s="542">
        <v>96.8</v>
      </c>
      <c r="D42" s="497">
        <v>25.6</v>
      </c>
      <c r="E42" s="497">
        <v>97.6</v>
      </c>
      <c r="F42" s="497">
        <v>97</v>
      </c>
      <c r="G42" s="498">
        <v>98.2</v>
      </c>
      <c r="H42" s="545">
        <f t="shared" si="6"/>
        <v>509.79999999999995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94.4</v>
      </c>
      <c r="C43" s="497">
        <v>96.8</v>
      </c>
      <c r="D43" s="497">
        <v>25.6</v>
      </c>
      <c r="E43" s="497">
        <v>97.6</v>
      </c>
      <c r="F43" s="497">
        <v>97</v>
      </c>
      <c r="G43" s="498">
        <v>98.2</v>
      </c>
      <c r="H43" s="264">
        <f t="shared" si="6"/>
        <v>509.59999999999997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94.3</v>
      </c>
      <c r="C44" s="497">
        <v>96.8</v>
      </c>
      <c r="D44" s="497">
        <v>25.6</v>
      </c>
      <c r="E44" s="497">
        <v>97.6</v>
      </c>
      <c r="F44" s="497">
        <v>97</v>
      </c>
      <c r="G44" s="498">
        <v>98.2</v>
      </c>
      <c r="H44" s="264">
        <f t="shared" si="6"/>
        <v>509.49999999999994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94.3</v>
      </c>
      <c r="C45" s="497">
        <v>96.8</v>
      </c>
      <c r="D45" s="497">
        <v>25.6</v>
      </c>
      <c r="E45" s="497">
        <v>97.6</v>
      </c>
      <c r="F45" s="497">
        <v>97</v>
      </c>
      <c r="G45" s="498">
        <v>98.1</v>
      </c>
      <c r="H45" s="265">
        <f t="shared" si="6"/>
        <v>509.4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662.19999999999993</v>
      </c>
      <c r="C46" s="120">
        <f t="shared" si="8"/>
        <v>670.3</v>
      </c>
      <c r="D46" s="120">
        <f t="shared" si="8"/>
        <v>179.6</v>
      </c>
      <c r="E46" s="120">
        <f t="shared" si="8"/>
        <v>684.2</v>
      </c>
      <c r="F46" s="120">
        <f t="shared" si="8"/>
        <v>680.2</v>
      </c>
      <c r="G46" s="121">
        <f t="shared" si="8"/>
        <v>688.6</v>
      </c>
      <c r="H46" s="275">
        <f t="shared" si="6"/>
        <v>3565.1</v>
      </c>
      <c r="I46" s="49"/>
      <c r="J46" s="42"/>
      <c r="K46" s="42"/>
      <c r="L46" s="42"/>
      <c r="N46" s="145" t="s">
        <v>9</v>
      </c>
      <c r="O46" s="122">
        <f t="shared" ref="O46:T46" si="9">SUM(O39:O45)</f>
        <v>47.499999999999993</v>
      </c>
      <c r="P46" s="120">
        <f t="shared" si="9"/>
        <v>47.699999999999996</v>
      </c>
      <c r="Q46" s="120">
        <f t="shared" si="9"/>
        <v>12.2</v>
      </c>
      <c r="R46" s="120">
        <f t="shared" si="9"/>
        <v>48.099999999999994</v>
      </c>
      <c r="S46" s="120">
        <f t="shared" si="9"/>
        <v>51.099999999999994</v>
      </c>
      <c r="T46" s="120">
        <f t="shared" si="9"/>
        <v>50.899999999999991</v>
      </c>
      <c r="U46" s="326">
        <f>SUM(O46:T46)</f>
        <v>257.5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158.69999999999999</v>
      </c>
      <c r="C47" s="520">
        <v>158.69999999999999</v>
      </c>
      <c r="D47" s="520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158.70987846681209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149.53542392566783</v>
      </c>
      <c r="V47" s="50"/>
    </row>
    <row r="48" spans="1:31" ht="33.75" customHeight="1" x14ac:dyDescent="0.25">
      <c r="A48" s="149" t="s">
        <v>12</v>
      </c>
      <c r="B48" s="26">
        <v>594</v>
      </c>
      <c r="C48" s="27">
        <v>610</v>
      </c>
      <c r="D48" s="27">
        <v>161</v>
      </c>
      <c r="E48" s="27">
        <v>615</v>
      </c>
      <c r="F48" s="27">
        <v>611</v>
      </c>
      <c r="G48" s="28">
        <v>618</v>
      </c>
      <c r="H48" s="129">
        <f>SUM(B48:G48)</f>
        <v>3209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94.267799999999994</v>
      </c>
      <c r="C49" s="31">
        <f t="shared" ref="C49:G49" si="10">(C48*C47)/1000</f>
        <v>96.807000000000002</v>
      </c>
      <c r="D49" s="31">
        <f t="shared" si="10"/>
        <v>25.550699999999996</v>
      </c>
      <c r="E49" s="31">
        <f t="shared" si="10"/>
        <v>97.600499999999997</v>
      </c>
      <c r="F49" s="31">
        <f t="shared" si="10"/>
        <v>96.965699999999998</v>
      </c>
      <c r="G49" s="32">
        <f t="shared" si="10"/>
        <v>98.076599999999985</v>
      </c>
      <c r="H49" s="130">
        <f>((H46*1000)/H48)/7</f>
        <v>158.70987846681209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6.8668000000000005</v>
      </c>
      <c r="P49" s="31">
        <f t="shared" si="11"/>
        <v>6.8234000000000012</v>
      </c>
      <c r="Q49" s="31">
        <f t="shared" si="11"/>
        <v>1.5500000000000003</v>
      </c>
      <c r="R49" s="31">
        <f t="shared" si="11"/>
        <v>6.7755999999999998</v>
      </c>
      <c r="S49" s="31">
        <f t="shared" si="11"/>
        <v>7.3357000000000001</v>
      </c>
      <c r="T49" s="31">
        <f t="shared" si="11"/>
        <v>7.2671999999999999</v>
      </c>
      <c r="U49" s="253">
        <f>((U46*1000)/U48)/7</f>
        <v>149.53542392566783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659.87459999999987</v>
      </c>
      <c r="C50" s="282">
        <f t="shared" si="12"/>
        <v>677.649</v>
      </c>
      <c r="D50" s="282">
        <f t="shared" si="12"/>
        <v>178.85489999999996</v>
      </c>
      <c r="E50" s="282">
        <f t="shared" si="12"/>
        <v>683.20349999999996</v>
      </c>
      <c r="F50" s="282">
        <f t="shared" si="12"/>
        <v>678.75990000000002</v>
      </c>
      <c r="G50" s="284">
        <f t="shared" si="12"/>
        <v>686.53620000000001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159.25925925925924</v>
      </c>
      <c r="C51" s="38">
        <f t="shared" si="14"/>
        <v>156.97892271662761</v>
      </c>
      <c r="D51" s="38">
        <f t="shared" si="14"/>
        <v>159.3611357586513</v>
      </c>
      <c r="E51" s="38">
        <f t="shared" si="14"/>
        <v>158.93147502903602</v>
      </c>
      <c r="F51" s="38">
        <f t="shared" si="14"/>
        <v>159.03670797287819</v>
      </c>
      <c r="G51" s="39">
        <f t="shared" si="14"/>
        <v>159.17706888580676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147.51552795031057</v>
      </c>
      <c r="P51" s="38">
        <f t="shared" si="15"/>
        <v>148.1366459627329</v>
      </c>
      <c r="Q51" s="38">
        <f t="shared" si="15"/>
        <v>158.44155844155844</v>
      </c>
      <c r="R51" s="38">
        <f t="shared" si="15"/>
        <v>149.37888198757761</v>
      </c>
      <c r="S51" s="38">
        <f t="shared" si="15"/>
        <v>148.97959183673467</v>
      </c>
      <c r="T51" s="38">
        <f t="shared" si="15"/>
        <v>151.48809523809524</v>
      </c>
      <c r="U51" s="255"/>
      <c r="V51" s="42"/>
    </row>
    <row r="52" spans="1:30" ht="33.75" customHeight="1" x14ac:dyDescent="0.25">
      <c r="A52" s="41"/>
      <c r="B52" s="42">
        <f>B50-B46</f>
        <v>-2.3254000000000588</v>
      </c>
      <c r="C52" s="42">
        <f t="shared" ref="C52:G53" si="16">C50-C46</f>
        <v>7.3490000000000464</v>
      </c>
      <c r="D52" s="42">
        <f t="shared" si="16"/>
        <v>-0.74510000000003629</v>
      </c>
      <c r="E52" s="42">
        <f t="shared" si="16"/>
        <v>-0.99650000000008276</v>
      </c>
      <c r="F52" s="42">
        <f t="shared" si="16"/>
        <v>-1.4401000000000295</v>
      </c>
      <c r="G52" s="42">
        <f t="shared" si="16"/>
        <v>-2.0638000000000147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-0.16599999999998971</v>
      </c>
      <c r="P52" s="42">
        <f t="shared" si="17"/>
        <v>0.11700000000000443</v>
      </c>
      <c r="Q52" s="42">
        <f t="shared" si="17"/>
        <v>-0.64999999999999858</v>
      </c>
      <c r="R52" s="42">
        <f t="shared" si="17"/>
        <v>-0.12199999999999278</v>
      </c>
      <c r="S52" s="42">
        <f t="shared" si="17"/>
        <v>0.17850000000000676</v>
      </c>
      <c r="T52" s="42">
        <f t="shared" si="17"/>
        <v>-0.16399999999999437</v>
      </c>
    </row>
    <row r="53" spans="1:30" ht="33.75" customHeight="1" x14ac:dyDescent="0.25">
      <c r="A53" s="41"/>
      <c r="B53" s="42">
        <f>B51-B47</f>
        <v>0.55925925925924957</v>
      </c>
      <c r="C53" s="42">
        <f t="shared" si="16"/>
        <v>-1.7210772833723809</v>
      </c>
      <c r="D53" s="42">
        <f t="shared" si="16"/>
        <v>0.66113575865131224</v>
      </c>
      <c r="E53" s="42">
        <f t="shared" si="16"/>
        <v>0.23147502903603367</v>
      </c>
      <c r="F53" s="42">
        <f t="shared" si="16"/>
        <v>0.33670797287820164</v>
      </c>
      <c r="G53" s="42">
        <f t="shared" si="16"/>
        <v>0.47706888580677287</v>
      </c>
      <c r="I53" s="2"/>
      <c r="J53" s="2"/>
      <c r="K53" s="45"/>
      <c r="L53" s="41"/>
      <c r="M53" s="42"/>
      <c r="N53" s="42"/>
      <c r="O53" s="42">
        <f t="shared" si="17"/>
        <v>0.5155279503105703</v>
      </c>
      <c r="P53" s="42">
        <f t="shared" si="17"/>
        <v>-0.36335403726710069</v>
      </c>
      <c r="Q53" s="42">
        <f t="shared" si="17"/>
        <v>8.4415584415584419</v>
      </c>
      <c r="R53" s="42">
        <f t="shared" si="17"/>
        <v>0.37888198757761415</v>
      </c>
      <c r="S53" s="42">
        <f t="shared" si="17"/>
        <v>-0.5204081632653299</v>
      </c>
      <c r="T53" s="42">
        <f t="shared" si="17"/>
        <v>0.4880952380952408</v>
      </c>
      <c r="W53" s="3"/>
    </row>
    <row r="54" spans="1:30" ht="33.75" customHeight="1" x14ac:dyDescent="0.25">
      <c r="A54" s="41"/>
      <c r="B54" s="1061"/>
      <c r="C54" s="1061"/>
      <c r="D54" s="106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</v>
      </c>
      <c r="I60" s="18">
        <v>8.1</v>
      </c>
      <c r="J60" s="19">
        <v>8.1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</v>
      </c>
      <c r="Q60" s="282">
        <v>8.3000000000000007</v>
      </c>
      <c r="R60" s="282">
        <v>7.9</v>
      </c>
      <c r="S60" s="282">
        <v>2.1</v>
      </c>
      <c r="T60" s="282">
        <v>8.1</v>
      </c>
      <c r="U60" s="282">
        <v>8.1</v>
      </c>
      <c r="V60" s="283">
        <v>7.7</v>
      </c>
      <c r="W60" s="545">
        <f t="shared" ref="W60:W66" si="18">SUM(B60:V60)</f>
        <v>151.79999999999998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8.3000000000000007</v>
      </c>
      <c r="O61" s="474">
        <v>8.1999999999999993</v>
      </c>
      <c r="P61" s="281">
        <v>8.1</v>
      </c>
      <c r="Q61" s="282">
        <v>8.3000000000000007</v>
      </c>
      <c r="R61" s="282">
        <v>7.9</v>
      </c>
      <c r="S61" s="282">
        <v>2.1</v>
      </c>
      <c r="T61" s="282">
        <v>8</v>
      </c>
      <c r="U61" s="282">
        <v>8.1</v>
      </c>
      <c r="V61" s="283">
        <v>7.7</v>
      </c>
      <c r="W61" s="545">
        <f t="shared" si="18"/>
        <v>151.6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2.2000000000000002</v>
      </c>
      <c r="T62" s="282">
        <v>8</v>
      </c>
      <c r="U62" s="282">
        <v>8.1999999999999993</v>
      </c>
      <c r="V62" s="283">
        <v>7.8</v>
      </c>
      <c r="W62" s="545">
        <f t="shared" si="18"/>
        <v>152.10000000000002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8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151.90000000000003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8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151.90000000000003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8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8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151.90000000000003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56.500000000000007</v>
      </c>
      <c r="I67" s="122">
        <f t="shared" si="19"/>
        <v>56.7</v>
      </c>
      <c r="J67" s="120">
        <f t="shared" si="19"/>
        <v>56.1</v>
      </c>
      <c r="K67" s="120">
        <f t="shared" si="19"/>
        <v>58.8</v>
      </c>
      <c r="L67" s="120">
        <f t="shared" si="19"/>
        <v>16.100000000000001</v>
      </c>
      <c r="M67" s="120">
        <f t="shared" si="19"/>
        <v>58.8</v>
      </c>
      <c r="N67" s="120">
        <f t="shared" si="19"/>
        <v>58.099999999999994</v>
      </c>
      <c r="O67" s="121">
        <f t="shared" si="19"/>
        <v>57.400000000000006</v>
      </c>
      <c r="P67" s="122">
        <f t="shared" si="19"/>
        <v>57.2</v>
      </c>
      <c r="Q67" s="120">
        <f t="shared" si="19"/>
        <v>58.099999999999994</v>
      </c>
      <c r="R67" s="120">
        <f t="shared" si="19"/>
        <v>55.3</v>
      </c>
      <c r="S67" s="120">
        <f t="shared" si="19"/>
        <v>14.4</v>
      </c>
      <c r="T67" s="120">
        <f t="shared" si="19"/>
        <v>56.1</v>
      </c>
      <c r="U67" s="120">
        <f t="shared" si="19"/>
        <v>57.2</v>
      </c>
      <c r="V67" s="121">
        <f t="shared" si="19"/>
        <v>54.399999999999991</v>
      </c>
      <c r="W67" s="263">
        <f>SUM(W60:W66)</f>
        <v>1063.1000000000004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154.65522257782953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52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982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8.1204000000000001</v>
      </c>
      <c r="I70" s="358">
        <f t="shared" si="20"/>
        <v>8.1497000000000011</v>
      </c>
      <c r="J70" s="31">
        <f t="shared" si="20"/>
        <v>8.0275999999999996</v>
      </c>
      <c r="K70" s="31">
        <f t="shared" si="20"/>
        <v>8.2824000000000009</v>
      </c>
      <c r="L70" s="31">
        <f t="shared" si="20"/>
        <v>2.335</v>
      </c>
      <c r="M70" s="31">
        <f t="shared" si="20"/>
        <v>8.2824000000000009</v>
      </c>
      <c r="N70" s="31">
        <f t="shared" si="20"/>
        <v>8.2846000000000011</v>
      </c>
      <c r="O70" s="322">
        <f t="shared" si="20"/>
        <v>8.2868000000000013</v>
      </c>
      <c r="P70" s="30">
        <f t="shared" si="20"/>
        <v>8.1532000000000018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2.0082999999999998</v>
      </c>
      <c r="T70" s="31">
        <f t="shared" si="20"/>
        <v>7.9911999999999992</v>
      </c>
      <c r="U70" s="31">
        <f t="shared" si="20"/>
        <v>8.1867999999999999</v>
      </c>
      <c r="V70" s="32">
        <f t="shared" si="20"/>
        <v>7.8085000000000004</v>
      </c>
      <c r="W70" s="362">
        <f>((W67*1000)/7)/W69</f>
        <v>154.65522257782956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56.238</v>
      </c>
      <c r="K71" s="282">
        <f t="shared" si="21"/>
        <v>58.212000000000003</v>
      </c>
      <c r="L71" s="282">
        <f t="shared" si="21"/>
        <v>16.274999999999999</v>
      </c>
      <c r="M71" s="282">
        <f t="shared" si="21"/>
        <v>58.212000000000003</v>
      </c>
      <c r="N71" s="282">
        <f t="shared" si="21"/>
        <v>58.023000000000003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155.21978021978026</v>
      </c>
      <c r="I72" s="37">
        <f t="shared" si="22"/>
        <v>152.83018867924531</v>
      </c>
      <c r="J72" s="38">
        <f t="shared" si="22"/>
        <v>154.1208791208791</v>
      </c>
      <c r="K72" s="38">
        <f t="shared" si="22"/>
        <v>155.55555555555554</v>
      </c>
      <c r="L72" s="38">
        <f t="shared" si="22"/>
        <v>153.33333333333334</v>
      </c>
      <c r="M72" s="38">
        <f t="shared" si="22"/>
        <v>155.55555555555554</v>
      </c>
      <c r="N72" s="38">
        <f t="shared" si="22"/>
        <v>153.70370370370367</v>
      </c>
      <c r="O72" s="39">
        <f t="shared" si="22"/>
        <v>151.85185185185188</v>
      </c>
      <c r="P72" s="37">
        <f t="shared" si="22"/>
        <v>157.14285714285717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158.24175824175828</v>
      </c>
      <c r="T72" s="38">
        <f t="shared" si="22"/>
        <v>154.1208791208791</v>
      </c>
      <c r="U72" s="38">
        <f t="shared" si="22"/>
        <v>154.17789757412399</v>
      </c>
      <c r="V72" s="39">
        <f t="shared" si="22"/>
        <v>152.38095238095235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0.10199999999998965</v>
      </c>
      <c r="I73" s="42">
        <f t="shared" si="23"/>
        <v>0.24849999999999994</v>
      </c>
      <c r="J73" s="42">
        <f t="shared" si="23"/>
        <v>0.13799999999999812</v>
      </c>
      <c r="K73" s="42">
        <f t="shared" si="23"/>
        <v>-0.58799999999999386</v>
      </c>
      <c r="L73" s="42">
        <f t="shared" si="23"/>
        <v>0.17499999999999716</v>
      </c>
      <c r="M73" s="42">
        <f t="shared" si="23"/>
        <v>-0.58799999999999386</v>
      </c>
      <c r="N73" s="42">
        <f t="shared" si="23"/>
        <v>-7.6999999999991076E-2</v>
      </c>
      <c r="O73" s="42">
        <f t="shared" si="23"/>
        <v>0.4339999999999975</v>
      </c>
      <c r="P73" s="42">
        <f t="shared" si="23"/>
        <v>-0.23400000000000176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-0.15850000000000009</v>
      </c>
      <c r="T73" s="42">
        <f t="shared" si="23"/>
        <v>-4.4000000000004036E-2</v>
      </c>
      <c r="U73" s="42">
        <f t="shared" si="23"/>
        <v>-6.6000000000002501E-2</v>
      </c>
      <c r="V73" s="42">
        <f t="shared" si="23"/>
        <v>4.2500000000011084E-2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-0.28021978021973837</v>
      </c>
      <c r="I74" s="42">
        <f t="shared" si="23"/>
        <v>-0.66981132075468963</v>
      </c>
      <c r="J74" s="42">
        <f t="shared" si="23"/>
        <v>-0.37912087912090442</v>
      </c>
      <c r="K74" s="42">
        <f t="shared" si="23"/>
        <v>1.5555555555555429</v>
      </c>
      <c r="L74" s="42">
        <f t="shared" si="23"/>
        <v>-1.6666666666666572</v>
      </c>
      <c r="M74" s="42">
        <f t="shared" si="23"/>
        <v>1.5555555555555429</v>
      </c>
      <c r="N74" s="42">
        <f t="shared" si="23"/>
        <v>0.20370370370366686</v>
      </c>
      <c r="O74" s="42">
        <f t="shared" si="23"/>
        <v>-1.1481481481481239</v>
      </c>
      <c r="P74" s="42">
        <f t="shared" si="23"/>
        <v>0.64285714285716722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1.7417582417582764</v>
      </c>
      <c r="T74" s="42">
        <f t="shared" si="23"/>
        <v>0.12087912087909558</v>
      </c>
      <c r="U74" s="42">
        <f t="shared" si="23"/>
        <v>0.17789757412398899</v>
      </c>
      <c r="V74" s="42">
        <f t="shared" si="23"/>
        <v>-0.11904761904764882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48"/>
  <dimension ref="A1:AE244"/>
  <sheetViews>
    <sheetView zoomScale="30" zoomScaleNormal="30" workbookViewId="0">
      <selection activeCell="O36" sqref="O36:T3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32</v>
      </c>
      <c r="Q11" s="1022"/>
      <c r="R11" s="6"/>
      <c r="S11" s="1" t="s">
        <v>6</v>
      </c>
      <c r="T11" s="95">
        <v>45599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95.3</v>
      </c>
      <c r="C18" s="497">
        <v>95.2</v>
      </c>
      <c r="D18" s="497">
        <v>94.4</v>
      </c>
      <c r="E18" s="497">
        <v>27.8</v>
      </c>
      <c r="F18" s="497">
        <v>96.5</v>
      </c>
      <c r="G18" s="497">
        <v>95.2</v>
      </c>
      <c r="H18" s="498">
        <v>95.3</v>
      </c>
      <c r="I18" s="126">
        <v>99.6</v>
      </c>
      <c r="J18" s="497">
        <v>98.5</v>
      </c>
      <c r="K18" s="497">
        <v>100.1</v>
      </c>
      <c r="L18" s="497">
        <v>29.3</v>
      </c>
      <c r="M18" s="497">
        <v>99.9</v>
      </c>
      <c r="N18" s="497">
        <v>100.1</v>
      </c>
      <c r="O18" s="497">
        <v>100.4</v>
      </c>
      <c r="P18" s="133">
        <v>100.4</v>
      </c>
      <c r="Q18" s="497">
        <v>101.7</v>
      </c>
      <c r="R18" s="497">
        <v>99.1</v>
      </c>
      <c r="S18" s="497">
        <v>30.8</v>
      </c>
      <c r="T18" s="497">
        <v>101.1</v>
      </c>
      <c r="U18" s="497">
        <v>100.4</v>
      </c>
      <c r="V18" s="498">
        <v>100.4</v>
      </c>
      <c r="W18" s="543">
        <f t="shared" ref="W18:W24" si="0">SUM(B18:V18)</f>
        <v>1861.5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95.3</v>
      </c>
      <c r="C19" s="497">
        <v>95.2</v>
      </c>
      <c r="D19" s="497">
        <v>94.2</v>
      </c>
      <c r="E19" s="497">
        <v>27.8</v>
      </c>
      <c r="F19" s="497">
        <v>96.5</v>
      </c>
      <c r="G19" s="497">
        <v>95.2</v>
      </c>
      <c r="H19" s="498">
        <v>95.3</v>
      </c>
      <c r="I19" s="126">
        <v>99.6</v>
      </c>
      <c r="J19" s="497">
        <v>98.5</v>
      </c>
      <c r="K19" s="497">
        <v>100.1</v>
      </c>
      <c r="L19" s="497">
        <v>29.3</v>
      </c>
      <c r="M19" s="497">
        <v>99.9</v>
      </c>
      <c r="N19" s="497">
        <v>100.1</v>
      </c>
      <c r="O19" s="497">
        <v>100.4</v>
      </c>
      <c r="P19" s="133">
        <v>100.4</v>
      </c>
      <c r="Q19" s="497">
        <v>101.7</v>
      </c>
      <c r="R19" s="497">
        <v>99.1</v>
      </c>
      <c r="S19" s="497">
        <v>30.8</v>
      </c>
      <c r="T19" s="497">
        <v>101.1</v>
      </c>
      <c r="U19" s="497">
        <v>100.4</v>
      </c>
      <c r="V19" s="498">
        <v>100.3</v>
      </c>
      <c r="W19" s="543">
        <f>SUM(B19:V19)</f>
        <v>1861.2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95.3</v>
      </c>
      <c r="C20" s="497">
        <v>95.2</v>
      </c>
      <c r="D20" s="497">
        <v>94.2</v>
      </c>
      <c r="E20" s="497">
        <v>27.8</v>
      </c>
      <c r="F20" s="497">
        <v>96.5</v>
      </c>
      <c r="G20" s="497">
        <v>95</v>
      </c>
      <c r="H20" s="498">
        <v>95.3</v>
      </c>
      <c r="I20" s="126">
        <v>99.4</v>
      </c>
      <c r="J20" s="497">
        <v>98.5</v>
      </c>
      <c r="K20" s="497">
        <v>100.1</v>
      </c>
      <c r="L20" s="497">
        <v>29.3</v>
      </c>
      <c r="M20" s="497">
        <v>99.9</v>
      </c>
      <c r="N20" s="497">
        <v>100.1</v>
      </c>
      <c r="O20" s="497">
        <v>100.4</v>
      </c>
      <c r="P20" s="133">
        <v>100.4</v>
      </c>
      <c r="Q20" s="497">
        <v>101.7</v>
      </c>
      <c r="R20" s="497">
        <v>98.9</v>
      </c>
      <c r="S20" s="497">
        <v>30.8</v>
      </c>
      <c r="T20" s="497">
        <v>101.1</v>
      </c>
      <c r="U20" s="497">
        <v>100.4</v>
      </c>
      <c r="V20" s="498">
        <v>100.3</v>
      </c>
      <c r="W20" s="543">
        <f t="shared" si="0"/>
        <v>1860.6000000000001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95.2</v>
      </c>
      <c r="C21" s="497">
        <v>95.2</v>
      </c>
      <c r="D21" s="497">
        <v>94.2</v>
      </c>
      <c r="E21" s="497">
        <v>27.8</v>
      </c>
      <c r="F21" s="497">
        <v>96.5</v>
      </c>
      <c r="G21" s="497">
        <v>94.9</v>
      </c>
      <c r="H21" s="498">
        <v>95.3</v>
      </c>
      <c r="I21" s="126">
        <v>99.4</v>
      </c>
      <c r="J21" s="497">
        <v>98.3</v>
      </c>
      <c r="K21" s="497">
        <v>100.1</v>
      </c>
      <c r="L21" s="497">
        <v>29.3</v>
      </c>
      <c r="M21" s="497">
        <v>99.8</v>
      </c>
      <c r="N21" s="497">
        <v>100.1</v>
      </c>
      <c r="O21" s="497">
        <v>100.4</v>
      </c>
      <c r="P21" s="133">
        <v>100.4</v>
      </c>
      <c r="Q21" s="497">
        <v>101.7</v>
      </c>
      <c r="R21" s="497">
        <v>98.9</v>
      </c>
      <c r="S21" s="497">
        <v>30.8</v>
      </c>
      <c r="T21" s="497">
        <v>101.1</v>
      </c>
      <c r="U21" s="497">
        <v>100.4</v>
      </c>
      <c r="V21" s="498">
        <v>100.3</v>
      </c>
      <c r="W21" s="98">
        <f t="shared" si="0"/>
        <v>1860.1000000000001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95.2</v>
      </c>
      <c r="C22" s="497">
        <v>95</v>
      </c>
      <c r="D22" s="497">
        <v>94</v>
      </c>
      <c r="E22" s="497">
        <v>27.5</v>
      </c>
      <c r="F22" s="497">
        <v>96.5</v>
      </c>
      <c r="G22" s="497">
        <v>94.9</v>
      </c>
      <c r="H22" s="498">
        <v>95.3</v>
      </c>
      <c r="I22" s="126">
        <v>99.4</v>
      </c>
      <c r="J22" s="497">
        <v>98.3</v>
      </c>
      <c r="K22" s="497">
        <v>100.1</v>
      </c>
      <c r="L22" s="497">
        <v>29.3</v>
      </c>
      <c r="M22" s="497">
        <v>99.8</v>
      </c>
      <c r="N22" s="497">
        <v>100.1</v>
      </c>
      <c r="O22" s="497">
        <v>100.4</v>
      </c>
      <c r="P22" s="133">
        <v>100.4</v>
      </c>
      <c r="Q22" s="497">
        <v>101.7</v>
      </c>
      <c r="R22" s="497">
        <v>98.9</v>
      </c>
      <c r="S22" s="497">
        <v>30.6</v>
      </c>
      <c r="T22" s="497">
        <v>101.1</v>
      </c>
      <c r="U22" s="497">
        <v>100.4</v>
      </c>
      <c r="V22" s="498">
        <v>100.3</v>
      </c>
      <c r="W22" s="98">
        <f t="shared" si="0"/>
        <v>1859.2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95.2</v>
      </c>
      <c r="C23" s="497">
        <v>95</v>
      </c>
      <c r="D23" s="497">
        <v>94</v>
      </c>
      <c r="E23" s="497">
        <v>27.5</v>
      </c>
      <c r="F23" s="497">
        <v>96.3</v>
      </c>
      <c r="G23" s="497">
        <v>94.9</v>
      </c>
      <c r="H23" s="498">
        <v>95.3</v>
      </c>
      <c r="I23" s="126">
        <v>99.4</v>
      </c>
      <c r="J23" s="497">
        <v>98.3</v>
      </c>
      <c r="K23" s="497">
        <v>100.1</v>
      </c>
      <c r="L23" s="497">
        <v>29.3</v>
      </c>
      <c r="M23" s="497">
        <v>99.8</v>
      </c>
      <c r="N23" s="497">
        <v>100.1</v>
      </c>
      <c r="O23" s="497">
        <v>100.4</v>
      </c>
      <c r="P23" s="133">
        <v>100.4</v>
      </c>
      <c r="Q23" s="497">
        <v>101.7</v>
      </c>
      <c r="R23" s="497">
        <v>98.9</v>
      </c>
      <c r="S23" s="497">
        <v>30.6</v>
      </c>
      <c r="T23" s="497">
        <v>101.1</v>
      </c>
      <c r="U23" s="497">
        <v>100.4</v>
      </c>
      <c r="V23" s="498">
        <v>100.1</v>
      </c>
      <c r="W23" s="98">
        <f t="shared" si="0"/>
        <v>1858.8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95.2</v>
      </c>
      <c r="C24" s="497">
        <v>95</v>
      </c>
      <c r="D24" s="497">
        <v>94</v>
      </c>
      <c r="E24" s="497">
        <v>27.4</v>
      </c>
      <c r="F24" s="497">
        <v>96.2</v>
      </c>
      <c r="G24" s="497">
        <v>94.9</v>
      </c>
      <c r="H24" s="498">
        <v>95.3</v>
      </c>
      <c r="I24" s="126">
        <v>99.3</v>
      </c>
      <c r="J24" s="497">
        <v>98.3</v>
      </c>
      <c r="K24" s="497">
        <v>100.1</v>
      </c>
      <c r="L24" s="497">
        <v>29.3</v>
      </c>
      <c r="M24" s="497">
        <v>99.8</v>
      </c>
      <c r="N24" s="497">
        <v>100.1</v>
      </c>
      <c r="O24" s="497">
        <v>100.4</v>
      </c>
      <c r="P24" s="133">
        <v>100.4</v>
      </c>
      <c r="Q24" s="497">
        <v>101.6</v>
      </c>
      <c r="R24" s="497">
        <v>98.9</v>
      </c>
      <c r="S24" s="497">
        <v>30.5</v>
      </c>
      <c r="T24" s="497">
        <v>101.1</v>
      </c>
      <c r="U24" s="497">
        <v>100.4</v>
      </c>
      <c r="V24" s="498">
        <v>100.1</v>
      </c>
      <c r="W24" s="98">
        <f t="shared" si="0"/>
        <v>1858.2999999999997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666.7</v>
      </c>
      <c r="C25" s="120">
        <f>SUM(C18:C24)</f>
        <v>665.8</v>
      </c>
      <c r="D25" s="120">
        <f t="shared" ref="D25:V25" si="1">SUM(D18:D24)</f>
        <v>659</v>
      </c>
      <c r="E25" s="120">
        <f t="shared" si="1"/>
        <v>193.6</v>
      </c>
      <c r="F25" s="120">
        <f t="shared" si="1"/>
        <v>675</v>
      </c>
      <c r="G25" s="120">
        <f t="shared" si="1"/>
        <v>664.99999999999989</v>
      </c>
      <c r="H25" s="121">
        <f t="shared" si="1"/>
        <v>667.09999999999991</v>
      </c>
      <c r="I25" s="122">
        <f t="shared" si="1"/>
        <v>696.09999999999991</v>
      </c>
      <c r="J25" s="120">
        <f t="shared" si="1"/>
        <v>688.69999999999993</v>
      </c>
      <c r="K25" s="120">
        <f t="shared" si="1"/>
        <v>700.7</v>
      </c>
      <c r="L25" s="120">
        <f t="shared" si="1"/>
        <v>205.10000000000002</v>
      </c>
      <c r="M25" s="120">
        <f t="shared" si="1"/>
        <v>698.9</v>
      </c>
      <c r="N25" s="120">
        <f t="shared" si="1"/>
        <v>700.7</v>
      </c>
      <c r="O25" s="121">
        <f t="shared" si="1"/>
        <v>702.8</v>
      </c>
      <c r="P25" s="122">
        <f t="shared" si="1"/>
        <v>702.8</v>
      </c>
      <c r="Q25" s="120">
        <f t="shared" si="1"/>
        <v>711.80000000000007</v>
      </c>
      <c r="R25" s="120">
        <f t="shared" si="1"/>
        <v>692.69999999999993</v>
      </c>
      <c r="S25" s="120">
        <f t="shared" si="1"/>
        <v>214.9</v>
      </c>
      <c r="T25" s="120">
        <f t="shared" si="1"/>
        <v>707.7</v>
      </c>
      <c r="U25" s="120">
        <f t="shared" si="1"/>
        <v>702.8</v>
      </c>
      <c r="V25" s="121">
        <f t="shared" si="1"/>
        <v>701.80000000000007</v>
      </c>
      <c r="W25" s="361">
        <f>SUM(W18:W24)</f>
        <v>13019.699999999999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163.97400536517171</v>
      </c>
    </row>
    <row r="27" spans="1:31" s="2" customFormat="1" ht="33" customHeight="1" x14ac:dyDescent="0.25">
      <c r="A27" s="149" t="s">
        <v>12</v>
      </c>
      <c r="B27" s="26">
        <v>581</v>
      </c>
      <c r="C27" s="27">
        <v>580</v>
      </c>
      <c r="D27" s="27">
        <v>574</v>
      </c>
      <c r="E27" s="27">
        <v>167</v>
      </c>
      <c r="F27" s="27">
        <v>587</v>
      </c>
      <c r="G27" s="27">
        <v>579</v>
      </c>
      <c r="H27" s="28">
        <v>582</v>
      </c>
      <c r="I27" s="26">
        <v>606</v>
      </c>
      <c r="J27" s="27">
        <v>600</v>
      </c>
      <c r="K27" s="27">
        <v>611</v>
      </c>
      <c r="L27" s="27">
        <v>179</v>
      </c>
      <c r="M27" s="27">
        <v>609</v>
      </c>
      <c r="N27" s="27">
        <v>611</v>
      </c>
      <c r="O27" s="28">
        <v>613</v>
      </c>
      <c r="P27" s="26">
        <v>613</v>
      </c>
      <c r="Q27" s="27">
        <v>620</v>
      </c>
      <c r="R27" s="27">
        <v>604</v>
      </c>
      <c r="S27" s="27">
        <v>186</v>
      </c>
      <c r="T27" s="27">
        <v>617</v>
      </c>
      <c r="U27" s="27">
        <v>613</v>
      </c>
      <c r="V27" s="28">
        <v>611</v>
      </c>
      <c r="W27" s="29">
        <f>SUM(B27:V27)</f>
        <v>11343</v>
      </c>
    </row>
    <row r="28" spans="1:31" s="2" customFormat="1" ht="33" customHeight="1" x14ac:dyDescent="0.25">
      <c r="A28" s="150" t="s">
        <v>13</v>
      </c>
      <c r="B28" s="30">
        <f>((((B26*7)*B27)/1000))/7</f>
        <v>95.179420000000007</v>
      </c>
      <c r="C28" s="31">
        <f t="shared" ref="C28:V28" si="2">((((C26*7)*C27)/1000))/7</f>
        <v>95.015599999999992</v>
      </c>
      <c r="D28" s="31">
        <f t="shared" si="2"/>
        <v>94.032679999999999</v>
      </c>
      <c r="E28" s="31">
        <f t="shared" si="2"/>
        <v>27.357939999999996</v>
      </c>
      <c r="F28" s="31">
        <f t="shared" si="2"/>
        <v>96.16234</v>
      </c>
      <c r="G28" s="31">
        <f t="shared" si="2"/>
        <v>94.851779999999991</v>
      </c>
      <c r="H28" s="32">
        <f t="shared" si="2"/>
        <v>95.343240000000009</v>
      </c>
      <c r="I28" s="30">
        <f t="shared" si="2"/>
        <v>99.274919999999995</v>
      </c>
      <c r="J28" s="31">
        <f t="shared" si="2"/>
        <v>98.292000000000002</v>
      </c>
      <c r="K28" s="31">
        <f t="shared" si="2"/>
        <v>100.09402</v>
      </c>
      <c r="L28" s="31">
        <f t="shared" si="2"/>
        <v>29.323779999999999</v>
      </c>
      <c r="M28" s="31">
        <f t="shared" si="2"/>
        <v>99.766380000000012</v>
      </c>
      <c r="N28" s="31">
        <f t="shared" si="2"/>
        <v>100.09402</v>
      </c>
      <c r="O28" s="32">
        <f t="shared" si="2"/>
        <v>100.42166</v>
      </c>
      <c r="P28" s="30">
        <f t="shared" si="2"/>
        <v>100.42166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100.09402</v>
      </c>
      <c r="W28" s="362">
        <f>((W25*1000)/7)/W27</f>
        <v>163.97400536517168</v>
      </c>
    </row>
    <row r="29" spans="1:31" ht="33.75" customHeight="1" x14ac:dyDescent="0.25">
      <c r="A29" s="151" t="s">
        <v>14</v>
      </c>
      <c r="B29" s="281">
        <f>((B27*B26)*7)/1000</f>
        <v>666.2559399999999</v>
      </c>
      <c r="C29" s="282">
        <f>((C27*C26)*7)/1000</f>
        <v>665.10919999999999</v>
      </c>
      <c r="D29" s="282">
        <f t="shared" ref="D29:V29" si="3">((D27*D26)*7)/1000</f>
        <v>658.22875999999997</v>
      </c>
      <c r="E29" s="282">
        <f t="shared" si="3"/>
        <v>191.50557999999998</v>
      </c>
      <c r="F29" s="282">
        <f t="shared" si="3"/>
        <v>673.13638000000003</v>
      </c>
      <c r="G29" s="282">
        <f t="shared" si="3"/>
        <v>663.96245999999996</v>
      </c>
      <c r="H29" s="284">
        <f t="shared" si="3"/>
        <v>667.40267999999992</v>
      </c>
      <c r="I29" s="281">
        <f t="shared" si="3"/>
        <v>694.92443999999989</v>
      </c>
      <c r="J29" s="282">
        <f t="shared" si="3"/>
        <v>688.04399999999998</v>
      </c>
      <c r="K29" s="282">
        <f t="shared" si="3"/>
        <v>700.65813999999989</v>
      </c>
      <c r="L29" s="282">
        <f t="shared" si="3"/>
        <v>205.26646</v>
      </c>
      <c r="M29" s="282">
        <f t="shared" si="3"/>
        <v>698.36465999999996</v>
      </c>
      <c r="N29" s="282">
        <f t="shared" si="3"/>
        <v>700.65813999999989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700.65813999999989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163.92918613228426</v>
      </c>
      <c r="C30" s="38">
        <f t="shared" ref="C30:V30" si="4">+(C25/C27)/7*1000</f>
        <v>163.99014778325122</v>
      </c>
      <c r="D30" s="38">
        <f t="shared" si="4"/>
        <v>164.0119462419114</v>
      </c>
      <c r="E30" s="38">
        <f t="shared" si="4"/>
        <v>165.61163387510695</v>
      </c>
      <c r="F30" s="38">
        <f t="shared" si="4"/>
        <v>164.27354587490873</v>
      </c>
      <c r="G30" s="38">
        <f t="shared" si="4"/>
        <v>164.07599309153713</v>
      </c>
      <c r="H30" s="39">
        <f t="shared" si="4"/>
        <v>163.74570446735396</v>
      </c>
      <c r="I30" s="37">
        <f t="shared" si="4"/>
        <v>164.09712399811409</v>
      </c>
      <c r="J30" s="38">
        <f t="shared" si="4"/>
        <v>163.97619047619048</v>
      </c>
      <c r="K30" s="38">
        <f t="shared" si="4"/>
        <v>163.82978723404256</v>
      </c>
      <c r="L30" s="38">
        <f t="shared" si="4"/>
        <v>163.68715083798884</v>
      </c>
      <c r="M30" s="38">
        <f t="shared" si="4"/>
        <v>163.9455782312925</v>
      </c>
      <c r="N30" s="38">
        <f t="shared" si="4"/>
        <v>163.82978723404256</v>
      </c>
      <c r="O30" s="39">
        <f t="shared" si="4"/>
        <v>163.78466557911909</v>
      </c>
      <c r="P30" s="37">
        <f t="shared" si="4"/>
        <v>163.78466557911909</v>
      </c>
      <c r="Q30" s="38">
        <f t="shared" si="4"/>
        <v>164.00921658986175</v>
      </c>
      <c r="R30" s="38">
        <f t="shared" si="4"/>
        <v>163.8363292336802</v>
      </c>
      <c r="S30" s="38">
        <f t="shared" si="4"/>
        <v>165.05376344086022</v>
      </c>
      <c r="T30" s="38">
        <f t="shared" si="4"/>
        <v>163.85737439222046</v>
      </c>
      <c r="U30" s="38">
        <f t="shared" si="4"/>
        <v>163.78466557911909</v>
      </c>
      <c r="V30" s="39">
        <f t="shared" si="4"/>
        <v>164.0869768529343</v>
      </c>
      <c r="W30" s="40"/>
    </row>
    <row r="31" spans="1:31" ht="33.75" customHeight="1" x14ac:dyDescent="0.25">
      <c r="A31" s="41"/>
      <c r="B31" s="42">
        <f>B29-B25</f>
        <v>-0.44406000000014956</v>
      </c>
      <c r="C31" s="42">
        <f t="shared" ref="C31:V32" si="5">C29-C25</f>
        <v>-0.69079999999996744</v>
      </c>
      <c r="D31" s="42">
        <f t="shared" si="5"/>
        <v>-0.77124000000003434</v>
      </c>
      <c r="E31" s="42">
        <f t="shared" si="5"/>
        <v>-2.0944200000000137</v>
      </c>
      <c r="F31" s="42">
        <f t="shared" si="5"/>
        <v>-1.863619999999969</v>
      </c>
      <c r="G31" s="42">
        <f t="shared" si="5"/>
        <v>-1.0375399999999217</v>
      </c>
      <c r="H31" s="42">
        <f t="shared" si="5"/>
        <v>0.30268000000000939</v>
      </c>
      <c r="I31" s="42">
        <f t="shared" si="5"/>
        <v>-1.1755600000000186</v>
      </c>
      <c r="J31" s="42">
        <f t="shared" si="5"/>
        <v>-0.65599999999994907</v>
      </c>
      <c r="K31" s="42">
        <f t="shared" si="5"/>
        <v>-4.1860000000156106E-2</v>
      </c>
      <c r="L31" s="42">
        <f t="shared" si="5"/>
        <v>0.1664599999999723</v>
      </c>
      <c r="M31" s="42">
        <f t="shared" si="5"/>
        <v>-0.53534000000001924</v>
      </c>
      <c r="N31" s="42">
        <f t="shared" si="5"/>
        <v>-4.1860000000156106E-2</v>
      </c>
      <c r="O31" s="42">
        <f t="shared" si="5"/>
        <v>0.15161999999997988</v>
      </c>
      <c r="P31" s="42">
        <f t="shared" si="5"/>
        <v>0.15161999999997988</v>
      </c>
      <c r="Q31" s="42">
        <f t="shared" si="5"/>
        <v>-0.82120000000008986</v>
      </c>
      <c r="R31" s="42">
        <f t="shared" si="5"/>
        <v>-6.9039999999972679E-2</v>
      </c>
      <c r="S31" s="42">
        <f t="shared" si="5"/>
        <v>-1.6063599999999951</v>
      </c>
      <c r="T31" s="42">
        <f t="shared" si="5"/>
        <v>-0.16142000000002099</v>
      </c>
      <c r="U31" s="42">
        <f t="shared" si="5"/>
        <v>0.15161999999997988</v>
      </c>
      <c r="V31" s="42">
        <f t="shared" si="5"/>
        <v>-1.1418600000001788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0.10918613228426466</v>
      </c>
      <c r="C32" s="42">
        <f t="shared" si="5"/>
        <v>0.17014778325122393</v>
      </c>
      <c r="D32" s="42">
        <f t="shared" si="5"/>
        <v>0.19194624191140974</v>
      </c>
      <c r="E32" s="42">
        <f t="shared" si="5"/>
        <v>1.7916338751069532</v>
      </c>
      <c r="F32" s="42">
        <f t="shared" si="5"/>
        <v>0.4535458749087411</v>
      </c>
      <c r="G32" s="42">
        <f t="shared" si="5"/>
        <v>0.25599309153713534</v>
      </c>
      <c r="H32" s="42">
        <f t="shared" si="5"/>
        <v>-7.429553264603328E-2</v>
      </c>
      <c r="I32" s="42">
        <f t="shared" si="5"/>
        <v>0.27712399811409227</v>
      </c>
      <c r="J32" s="42">
        <f t="shared" si="5"/>
        <v>0.15619047619048843</v>
      </c>
      <c r="K32" s="42">
        <f t="shared" si="5"/>
        <v>9.7872340425624316E-3</v>
      </c>
      <c r="L32" s="42">
        <f t="shared" si="5"/>
        <v>-0.13284916201115493</v>
      </c>
      <c r="M32" s="42">
        <f t="shared" si="5"/>
        <v>0.12557823129250778</v>
      </c>
      <c r="N32" s="42">
        <f t="shared" si="5"/>
        <v>9.7872340425624316E-3</v>
      </c>
      <c r="O32" s="42">
        <f t="shared" si="5"/>
        <v>-3.5334420880900552E-2</v>
      </c>
      <c r="P32" s="42">
        <f t="shared" si="5"/>
        <v>-3.5334420880900552E-2</v>
      </c>
      <c r="Q32" s="42">
        <f>Q30-Q26</f>
        <v>0.18921658986175771</v>
      </c>
      <c r="R32" s="42">
        <f t="shared" si="5"/>
        <v>1.6329233680210109E-2</v>
      </c>
      <c r="S32" s="42">
        <f t="shared" si="5"/>
        <v>1.2337634408602298</v>
      </c>
      <c r="T32" s="42">
        <f t="shared" si="5"/>
        <v>3.7374392220471009E-2</v>
      </c>
      <c r="U32" s="42">
        <f t="shared" si="5"/>
        <v>-3.5334420880900552E-2</v>
      </c>
      <c r="V32" s="42">
        <f t="shared" si="5"/>
        <v>0.26697685293430595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94.3</v>
      </c>
      <c r="C39" s="497">
        <v>96.8</v>
      </c>
      <c r="D39" s="497">
        <v>25.6</v>
      </c>
      <c r="E39" s="497">
        <v>97.6</v>
      </c>
      <c r="F39" s="497">
        <v>97</v>
      </c>
      <c r="G39" s="498">
        <v>98.1</v>
      </c>
      <c r="H39" s="544">
        <f t="shared" ref="H39:H46" si="6">SUM(B39:G39)</f>
        <v>509.4</v>
      </c>
      <c r="I39" s="49"/>
      <c r="J39" s="42"/>
      <c r="K39" s="42"/>
      <c r="L39" s="42"/>
      <c r="M39" s="2"/>
      <c r="N39" s="146" t="s">
        <v>51</v>
      </c>
      <c r="O39" s="18">
        <v>6.9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94.3</v>
      </c>
      <c r="C40" s="497">
        <v>96.8</v>
      </c>
      <c r="D40" s="497">
        <v>25.6</v>
      </c>
      <c r="E40" s="497">
        <v>97.6</v>
      </c>
      <c r="F40" s="497">
        <v>96.8</v>
      </c>
      <c r="G40" s="498">
        <v>98.1</v>
      </c>
      <c r="H40" s="545">
        <f t="shared" si="6"/>
        <v>509.19999999999993</v>
      </c>
      <c r="I40" s="309"/>
      <c r="J40" s="42"/>
      <c r="K40" s="42"/>
      <c r="L40" s="42"/>
      <c r="M40" s="2"/>
      <c r="N40" s="146" t="s">
        <v>24</v>
      </c>
      <c r="O40" s="18">
        <v>6.9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94.3</v>
      </c>
      <c r="C41" s="497">
        <v>96.5</v>
      </c>
      <c r="D41" s="497">
        <v>25.4</v>
      </c>
      <c r="E41" s="497">
        <v>97.6</v>
      </c>
      <c r="F41" s="497">
        <v>96.8</v>
      </c>
      <c r="G41" s="498">
        <v>98.1</v>
      </c>
      <c r="H41" s="545">
        <f t="shared" si="6"/>
        <v>508.70000000000005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94.3</v>
      </c>
      <c r="C42" s="497">
        <v>96</v>
      </c>
      <c r="D42" s="497">
        <v>25.4</v>
      </c>
      <c r="E42" s="497">
        <v>97.6</v>
      </c>
      <c r="F42" s="497">
        <v>96.8</v>
      </c>
      <c r="G42" s="498">
        <v>97.9</v>
      </c>
      <c r="H42" s="545">
        <f t="shared" si="6"/>
        <v>508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94.3</v>
      </c>
      <c r="C43" s="497">
        <v>96</v>
      </c>
      <c r="D43" s="497">
        <v>25.2</v>
      </c>
      <c r="E43" s="497">
        <v>97.6</v>
      </c>
      <c r="F43" s="497">
        <v>96.8</v>
      </c>
      <c r="G43" s="498">
        <v>97.8</v>
      </c>
      <c r="H43" s="264">
        <f t="shared" si="6"/>
        <v>507.70000000000005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94.1</v>
      </c>
      <c r="C44" s="497">
        <v>96</v>
      </c>
      <c r="D44" s="497">
        <v>25.2</v>
      </c>
      <c r="E44" s="497">
        <v>97.6</v>
      </c>
      <c r="F44" s="497">
        <v>96.8</v>
      </c>
      <c r="G44" s="498">
        <v>97.8</v>
      </c>
      <c r="H44" s="264">
        <f t="shared" si="6"/>
        <v>507.5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93.8</v>
      </c>
      <c r="C45" s="497">
        <v>96</v>
      </c>
      <c r="D45" s="497">
        <v>25.2</v>
      </c>
      <c r="E45" s="497">
        <v>97.6</v>
      </c>
      <c r="F45" s="497">
        <v>96.8</v>
      </c>
      <c r="G45" s="498">
        <v>97.8</v>
      </c>
      <c r="H45" s="265">
        <f t="shared" si="6"/>
        <v>507.20000000000005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659.4</v>
      </c>
      <c r="C46" s="120">
        <f t="shared" si="8"/>
        <v>674.1</v>
      </c>
      <c r="D46" s="120">
        <f t="shared" si="8"/>
        <v>177.6</v>
      </c>
      <c r="E46" s="120">
        <f t="shared" si="8"/>
        <v>683.2</v>
      </c>
      <c r="F46" s="120">
        <f t="shared" si="8"/>
        <v>677.8</v>
      </c>
      <c r="G46" s="121">
        <f t="shared" si="8"/>
        <v>685.59999999999991</v>
      </c>
      <c r="H46" s="275">
        <f t="shared" si="6"/>
        <v>3557.7000000000003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48.3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256.89999999999998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159.02467369926694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149.18699186991867</v>
      </c>
      <c r="V47" s="50"/>
    </row>
    <row r="48" spans="1:31" ht="33.75" customHeight="1" x14ac:dyDescent="0.25">
      <c r="A48" s="149" t="s">
        <v>12</v>
      </c>
      <c r="B48" s="26">
        <v>591</v>
      </c>
      <c r="C48" s="27">
        <v>605</v>
      </c>
      <c r="D48" s="27">
        <v>159</v>
      </c>
      <c r="E48" s="27">
        <v>615</v>
      </c>
      <c r="F48" s="27">
        <v>610</v>
      </c>
      <c r="G48" s="28">
        <v>616</v>
      </c>
      <c r="H48" s="129">
        <f>SUM(B48:G48)</f>
        <v>3196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93.791699999999992</v>
      </c>
      <c r="C49" s="31">
        <f t="shared" ref="C49:G49" si="10">(C48*C47)/1000</f>
        <v>96.013499999999993</v>
      </c>
      <c r="D49" s="31">
        <f t="shared" si="10"/>
        <v>25.2333</v>
      </c>
      <c r="E49" s="31">
        <f t="shared" si="10"/>
        <v>97.600499999999997</v>
      </c>
      <c r="F49" s="31">
        <f t="shared" si="10"/>
        <v>96.807000000000002</v>
      </c>
      <c r="G49" s="32">
        <f t="shared" si="10"/>
        <v>97.759199999999993</v>
      </c>
      <c r="H49" s="130">
        <f>((H46*1000)/H48)/7</f>
        <v>159.02467369926697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6.7068000000000012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149.1869918699187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656.54190000000006</v>
      </c>
      <c r="C50" s="282">
        <f t="shared" si="12"/>
        <v>672.09450000000004</v>
      </c>
      <c r="D50" s="282">
        <f t="shared" si="12"/>
        <v>176.63310000000001</v>
      </c>
      <c r="E50" s="282">
        <f t="shared" si="12"/>
        <v>683.20349999999996</v>
      </c>
      <c r="F50" s="282">
        <f t="shared" si="12"/>
        <v>677.649</v>
      </c>
      <c r="G50" s="284">
        <f t="shared" si="12"/>
        <v>684.31439999999998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159.39086294416245</v>
      </c>
      <c r="C51" s="38">
        <f t="shared" si="14"/>
        <v>159.17355371900825</v>
      </c>
      <c r="D51" s="38">
        <f t="shared" si="14"/>
        <v>159.56873315363882</v>
      </c>
      <c r="E51" s="38">
        <f t="shared" si="14"/>
        <v>158.69918699186994</v>
      </c>
      <c r="F51" s="38">
        <f t="shared" si="14"/>
        <v>158.73536299765806</v>
      </c>
      <c r="G51" s="39">
        <f t="shared" si="14"/>
        <v>158.99814471243039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-2.8580999999999221</v>
      </c>
      <c r="C52" s="42">
        <f t="shared" ref="C52:G53" si="16">C50-C46</f>
        <v>-2.0054999999999836</v>
      </c>
      <c r="D52" s="42">
        <f t="shared" si="16"/>
        <v>-0.96689999999998122</v>
      </c>
      <c r="E52" s="42">
        <f t="shared" si="16"/>
        <v>3.499999999917236E-3</v>
      </c>
      <c r="F52" s="42">
        <f t="shared" si="16"/>
        <v>-0.15099999999995362</v>
      </c>
      <c r="G52" s="42">
        <f t="shared" si="16"/>
        <v>-1.2855999999999312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-0.96599999999999397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0.69086294416246119</v>
      </c>
      <c r="C53" s="42">
        <f t="shared" si="16"/>
        <v>0.47355371900826526</v>
      </c>
      <c r="D53" s="42">
        <f t="shared" si="16"/>
        <v>0.86873315363882853</v>
      </c>
      <c r="E53" s="42">
        <f t="shared" si="16"/>
        <v>-8.1300813005213968E-4</v>
      </c>
      <c r="F53" s="42">
        <f t="shared" si="16"/>
        <v>3.5362997658069162E-2</v>
      </c>
      <c r="G53" s="42">
        <f t="shared" si="16"/>
        <v>0.29814471243039975</v>
      </c>
      <c r="I53" s="2"/>
      <c r="J53" s="2"/>
      <c r="K53" s="45"/>
      <c r="L53" s="41"/>
      <c r="M53" s="42"/>
      <c r="N53" s="42"/>
      <c r="O53" s="42">
        <f t="shared" si="17"/>
        <v>3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061"/>
      <c r="C54" s="1061"/>
      <c r="D54" s="106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8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8.1999999999999993</v>
      </c>
      <c r="Q60" s="282">
        <v>8.3000000000000007</v>
      </c>
      <c r="R60" s="282">
        <v>7.9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151.90000000000003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7.9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151.70000000000002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151.70000000000002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7.8</v>
      </c>
      <c r="K63" s="19">
        <v>8.4</v>
      </c>
      <c r="L63" s="267">
        <v>2.2999999999999998</v>
      </c>
      <c r="M63" s="267">
        <v>8.4</v>
      </c>
      <c r="N63" s="19">
        <v>8.1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151.5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7.8</v>
      </c>
      <c r="K64" s="19">
        <v>8.4</v>
      </c>
      <c r="L64" s="267">
        <v>2.2999999999999998</v>
      </c>
      <c r="M64" s="267">
        <v>8.4</v>
      </c>
      <c r="N64" s="19">
        <v>8.1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151.5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7.8</v>
      </c>
      <c r="K65" s="19">
        <v>8.4</v>
      </c>
      <c r="L65" s="267">
        <v>2.2999999999999998</v>
      </c>
      <c r="M65" s="267">
        <v>8.4</v>
      </c>
      <c r="N65" s="19">
        <v>8.1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151.5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8.1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150.80000000000001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56.7</v>
      </c>
      <c r="I67" s="122">
        <f t="shared" si="19"/>
        <v>56.7</v>
      </c>
      <c r="J67" s="120">
        <f t="shared" si="19"/>
        <v>55.199999999999996</v>
      </c>
      <c r="K67" s="120">
        <f t="shared" si="19"/>
        <v>58.8</v>
      </c>
      <c r="L67" s="120">
        <f t="shared" si="19"/>
        <v>15.9</v>
      </c>
      <c r="M67" s="120">
        <f t="shared" si="19"/>
        <v>58.3</v>
      </c>
      <c r="N67" s="120">
        <f t="shared" si="19"/>
        <v>56.900000000000006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58.099999999999994</v>
      </c>
      <c r="R67" s="120">
        <f t="shared" si="19"/>
        <v>55.3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1060.6000000000001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155.08115221523616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53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977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8.0804000000000009</v>
      </c>
      <c r="I70" s="358">
        <f t="shared" si="20"/>
        <v>8.1497000000000011</v>
      </c>
      <c r="J70" s="31">
        <f t="shared" si="20"/>
        <v>7.8313000000000006</v>
      </c>
      <c r="K70" s="31">
        <f t="shared" si="20"/>
        <v>8.2824000000000009</v>
      </c>
      <c r="L70" s="31">
        <f t="shared" si="20"/>
        <v>2.1179999999999999</v>
      </c>
      <c r="M70" s="31">
        <f t="shared" si="20"/>
        <v>7.8512000000000004</v>
      </c>
      <c r="N70" s="31">
        <f t="shared" si="20"/>
        <v>8.1097000000000001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155.08115221523616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56.948500000000003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155.7692307692308</v>
      </c>
      <c r="I72" s="37">
        <f t="shared" si="22"/>
        <v>152.83018867924531</v>
      </c>
      <c r="J72" s="38">
        <f t="shared" si="22"/>
        <v>154.62184873949579</v>
      </c>
      <c r="K72" s="38">
        <f t="shared" si="22"/>
        <v>155.55555555555554</v>
      </c>
      <c r="L72" s="38">
        <f t="shared" si="22"/>
        <v>162.24489795918367</v>
      </c>
      <c r="M72" s="38">
        <f t="shared" si="22"/>
        <v>160.16483516483518</v>
      </c>
      <c r="N72" s="38">
        <f t="shared" si="22"/>
        <v>153.36927223719678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-9.8000000000006082E-2</v>
      </c>
      <c r="I73" s="42">
        <f t="shared" si="23"/>
        <v>0.24849999999999994</v>
      </c>
      <c r="J73" s="42">
        <f t="shared" si="23"/>
        <v>-4.3499999999994543E-2</v>
      </c>
      <c r="K73" s="42">
        <f t="shared" si="23"/>
        <v>-0.58799999999999386</v>
      </c>
      <c r="L73" s="42">
        <f t="shared" si="23"/>
        <v>-0.71000000000000085</v>
      </c>
      <c r="M73" s="42">
        <f t="shared" si="23"/>
        <v>-2.2439999999999998</v>
      </c>
      <c r="N73" s="42">
        <f t="shared" si="23"/>
        <v>4.8499999999997101E-2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0.26923076923080203</v>
      </c>
      <c r="I74" s="42">
        <f t="shared" si="23"/>
        <v>-0.66981132075468963</v>
      </c>
      <c r="J74" s="42">
        <f t="shared" si="23"/>
        <v>0.121848739495789</v>
      </c>
      <c r="K74" s="42">
        <f t="shared" si="23"/>
        <v>1.5555555555555429</v>
      </c>
      <c r="L74" s="42">
        <f t="shared" si="23"/>
        <v>7.2448979591836746</v>
      </c>
      <c r="M74" s="42">
        <f t="shared" si="23"/>
        <v>6.164835164835182</v>
      </c>
      <c r="N74" s="42">
        <f t="shared" si="23"/>
        <v>-0.13072776280321818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49"/>
  <dimension ref="A1:AE244"/>
  <sheetViews>
    <sheetView zoomScale="30" zoomScaleNormal="30" workbookViewId="0">
      <selection activeCell="R37" sqref="R3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33</v>
      </c>
      <c r="Q11" s="1022"/>
      <c r="R11" s="6"/>
      <c r="S11" s="1" t="s">
        <v>6</v>
      </c>
      <c r="T11" s="95">
        <v>45606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</v>
      </c>
      <c r="C18" s="497">
        <v>94.9</v>
      </c>
      <c r="D18" s="497">
        <v>94</v>
      </c>
      <c r="E18" s="497">
        <v>27.4</v>
      </c>
      <c r="F18" s="497">
        <v>96.2</v>
      </c>
      <c r="G18" s="497">
        <v>94.9</v>
      </c>
      <c r="H18" s="498">
        <v>95.3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99.8</v>
      </c>
      <c r="N18" s="497">
        <v>100.1</v>
      </c>
      <c r="O18" s="497">
        <v>100.3</v>
      </c>
      <c r="P18" s="133">
        <v>100.4</v>
      </c>
      <c r="Q18" s="497">
        <v>101.6</v>
      </c>
      <c r="R18" s="497">
        <v>98.9</v>
      </c>
      <c r="S18" s="497">
        <v>30.5</v>
      </c>
      <c r="T18" s="497">
        <v>101.1</v>
      </c>
      <c r="U18" s="497">
        <v>100.4</v>
      </c>
      <c r="V18" s="498">
        <v>100.1</v>
      </c>
      <c r="W18" s="543">
        <f t="shared" ref="W18:W24" si="0">SUM(B18:V18)</f>
        <v>1857.6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</v>
      </c>
      <c r="C19" s="497">
        <v>94.9</v>
      </c>
      <c r="D19" s="497">
        <v>94</v>
      </c>
      <c r="E19" s="497">
        <v>27.4</v>
      </c>
      <c r="F19" s="497">
        <v>96.2</v>
      </c>
      <c r="G19" s="497">
        <v>94.9</v>
      </c>
      <c r="H19" s="498">
        <v>95.3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99.6</v>
      </c>
      <c r="N19" s="497">
        <v>100.1</v>
      </c>
      <c r="O19" s="497">
        <v>100.3</v>
      </c>
      <c r="P19" s="133">
        <v>100.4</v>
      </c>
      <c r="Q19" s="497">
        <v>101.6</v>
      </c>
      <c r="R19" s="497">
        <v>98.9</v>
      </c>
      <c r="S19" s="497">
        <v>30.5</v>
      </c>
      <c r="T19" s="497">
        <v>101.1</v>
      </c>
      <c r="U19" s="497">
        <v>100.4</v>
      </c>
      <c r="V19" s="498">
        <v>100.1</v>
      </c>
      <c r="W19" s="543">
        <f>SUM(B19:V19)</f>
        <v>1857.3999999999999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</v>
      </c>
      <c r="C20" s="497">
        <v>94.7</v>
      </c>
      <c r="D20" s="497">
        <v>94</v>
      </c>
      <c r="E20" s="497">
        <v>27.4</v>
      </c>
      <c r="F20" s="497">
        <v>96.2</v>
      </c>
      <c r="G20" s="497">
        <v>94.9</v>
      </c>
      <c r="H20" s="498">
        <v>95.3</v>
      </c>
      <c r="I20" s="126">
        <v>99.3</v>
      </c>
      <c r="J20" s="497">
        <v>98.1</v>
      </c>
      <c r="K20" s="497">
        <v>100.1</v>
      </c>
      <c r="L20" s="497">
        <v>29.2</v>
      </c>
      <c r="M20" s="497">
        <v>99.6</v>
      </c>
      <c r="N20" s="497">
        <v>100.1</v>
      </c>
      <c r="O20" s="497">
        <v>100.3</v>
      </c>
      <c r="P20" s="133">
        <v>100.4</v>
      </c>
      <c r="Q20" s="497">
        <v>101.6</v>
      </c>
      <c r="R20" s="497">
        <v>98.9</v>
      </c>
      <c r="S20" s="497">
        <v>30.5</v>
      </c>
      <c r="T20" s="497">
        <v>101.1</v>
      </c>
      <c r="U20" s="497">
        <v>100.4</v>
      </c>
      <c r="V20" s="498">
        <v>100.1</v>
      </c>
      <c r="W20" s="543">
        <f t="shared" si="0"/>
        <v>1857.1999999999998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94.9</v>
      </c>
      <c r="C21" s="497">
        <v>94.4</v>
      </c>
      <c r="D21" s="497">
        <v>94</v>
      </c>
      <c r="E21" s="497">
        <v>27.2</v>
      </c>
      <c r="F21" s="497">
        <v>96.2</v>
      </c>
      <c r="G21" s="497">
        <v>94.9</v>
      </c>
      <c r="H21" s="498">
        <v>95.2</v>
      </c>
      <c r="I21" s="126">
        <v>99.3</v>
      </c>
      <c r="J21" s="497">
        <v>98.1</v>
      </c>
      <c r="K21" s="497">
        <v>100.1</v>
      </c>
      <c r="L21" s="497">
        <v>29.2</v>
      </c>
      <c r="M21" s="497">
        <v>99.6</v>
      </c>
      <c r="N21" s="497">
        <v>100.1</v>
      </c>
      <c r="O21" s="497">
        <v>100.1</v>
      </c>
      <c r="P21" s="133">
        <v>100.3</v>
      </c>
      <c r="Q21" s="497">
        <v>101.6</v>
      </c>
      <c r="R21" s="497">
        <v>98.9</v>
      </c>
      <c r="S21" s="497">
        <v>30.5</v>
      </c>
      <c r="T21" s="497">
        <v>100.9</v>
      </c>
      <c r="U21" s="497">
        <v>100.4</v>
      </c>
      <c r="V21" s="498">
        <v>100.1</v>
      </c>
      <c r="W21" s="98">
        <f t="shared" si="0"/>
        <v>1856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94.9</v>
      </c>
      <c r="C22" s="497">
        <v>94.4</v>
      </c>
      <c r="D22" s="497">
        <v>94</v>
      </c>
      <c r="E22" s="497">
        <v>27.2</v>
      </c>
      <c r="F22" s="497">
        <v>96.2</v>
      </c>
      <c r="G22" s="497">
        <v>94.9</v>
      </c>
      <c r="H22" s="498">
        <v>95.2</v>
      </c>
      <c r="I22" s="126">
        <v>99.3</v>
      </c>
      <c r="J22" s="497">
        <v>98.1</v>
      </c>
      <c r="K22" s="497">
        <v>100.1</v>
      </c>
      <c r="L22" s="497">
        <v>29.2</v>
      </c>
      <c r="M22" s="497">
        <v>99.6</v>
      </c>
      <c r="N22" s="497">
        <v>100.1</v>
      </c>
      <c r="O22" s="497">
        <v>99.9</v>
      </c>
      <c r="P22" s="133">
        <v>100.3</v>
      </c>
      <c r="Q22" s="497">
        <v>101.6</v>
      </c>
      <c r="R22" s="497">
        <v>98.9</v>
      </c>
      <c r="S22" s="497">
        <v>30.5</v>
      </c>
      <c r="T22" s="497">
        <v>100.9</v>
      </c>
      <c r="U22" s="497">
        <v>100.4</v>
      </c>
      <c r="V22" s="498">
        <v>100.1</v>
      </c>
      <c r="W22" s="98">
        <f t="shared" si="0"/>
        <v>1855.8000000000002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94.9</v>
      </c>
      <c r="C23" s="497">
        <v>94.4</v>
      </c>
      <c r="D23" s="497">
        <v>94</v>
      </c>
      <c r="E23" s="497">
        <v>27</v>
      </c>
      <c r="F23" s="497">
        <v>96.2</v>
      </c>
      <c r="G23" s="497">
        <v>94.7</v>
      </c>
      <c r="H23" s="498">
        <v>95.2</v>
      </c>
      <c r="I23" s="126">
        <v>99.3</v>
      </c>
      <c r="J23" s="497">
        <v>98.1</v>
      </c>
      <c r="K23" s="497">
        <v>100.1</v>
      </c>
      <c r="L23" s="497">
        <v>29.2</v>
      </c>
      <c r="M23" s="497">
        <v>99.6</v>
      </c>
      <c r="N23" s="497">
        <v>100.1</v>
      </c>
      <c r="O23" s="497">
        <v>99.9</v>
      </c>
      <c r="P23" s="133">
        <v>100.3</v>
      </c>
      <c r="Q23" s="497">
        <v>101.6</v>
      </c>
      <c r="R23" s="497">
        <v>98.9</v>
      </c>
      <c r="S23" s="497">
        <v>30.5</v>
      </c>
      <c r="T23" s="497">
        <v>100.9</v>
      </c>
      <c r="U23" s="497">
        <v>100.3</v>
      </c>
      <c r="V23" s="498">
        <v>100.1</v>
      </c>
      <c r="W23" s="98">
        <f t="shared" si="0"/>
        <v>1855.3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94.9</v>
      </c>
      <c r="C24" s="497">
        <v>94.4</v>
      </c>
      <c r="D24" s="497">
        <v>94</v>
      </c>
      <c r="E24" s="497">
        <v>27</v>
      </c>
      <c r="F24" s="497">
        <v>96.2</v>
      </c>
      <c r="G24" s="497">
        <v>94.5</v>
      </c>
      <c r="H24" s="498">
        <v>95.2</v>
      </c>
      <c r="I24" s="126">
        <v>99.3</v>
      </c>
      <c r="J24" s="497">
        <v>98.1</v>
      </c>
      <c r="K24" s="497">
        <v>100.1</v>
      </c>
      <c r="L24" s="497">
        <v>29.2</v>
      </c>
      <c r="M24" s="497">
        <v>99.4</v>
      </c>
      <c r="N24" s="497">
        <v>99.9</v>
      </c>
      <c r="O24" s="497">
        <v>99.9</v>
      </c>
      <c r="P24" s="133">
        <v>100.3</v>
      </c>
      <c r="Q24" s="497">
        <v>101.6</v>
      </c>
      <c r="R24" s="497">
        <v>98.9</v>
      </c>
      <c r="S24" s="497">
        <v>30.5</v>
      </c>
      <c r="T24" s="497">
        <v>100.7</v>
      </c>
      <c r="U24" s="497">
        <v>100.1</v>
      </c>
      <c r="V24" s="498">
        <v>99.9</v>
      </c>
      <c r="W24" s="98">
        <f t="shared" si="0"/>
        <v>1854.1000000000001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664.59999999999991</v>
      </c>
      <c r="C25" s="120">
        <f>SUM(C18:C24)</f>
        <v>662.09999999999991</v>
      </c>
      <c r="D25" s="120">
        <f t="shared" ref="D25:V25" si="1">SUM(D18:D24)</f>
        <v>658</v>
      </c>
      <c r="E25" s="120">
        <f t="shared" si="1"/>
        <v>190.6</v>
      </c>
      <c r="F25" s="120">
        <f t="shared" si="1"/>
        <v>673.40000000000009</v>
      </c>
      <c r="G25" s="120">
        <f t="shared" si="1"/>
        <v>663.7</v>
      </c>
      <c r="H25" s="121">
        <f t="shared" si="1"/>
        <v>666.7</v>
      </c>
      <c r="I25" s="122">
        <f t="shared" si="1"/>
        <v>695.09999999999991</v>
      </c>
      <c r="J25" s="120">
        <f t="shared" si="1"/>
        <v>686.7</v>
      </c>
      <c r="K25" s="120">
        <f t="shared" si="1"/>
        <v>700.7</v>
      </c>
      <c r="L25" s="120">
        <f t="shared" si="1"/>
        <v>204.39999999999998</v>
      </c>
      <c r="M25" s="120">
        <f t="shared" si="1"/>
        <v>697.2</v>
      </c>
      <c r="N25" s="120">
        <f t="shared" si="1"/>
        <v>700.5</v>
      </c>
      <c r="O25" s="121">
        <f t="shared" si="1"/>
        <v>700.69999999999993</v>
      </c>
      <c r="P25" s="122">
        <f t="shared" si="1"/>
        <v>702.4</v>
      </c>
      <c r="Q25" s="120">
        <f t="shared" si="1"/>
        <v>711.2</v>
      </c>
      <c r="R25" s="120">
        <f t="shared" si="1"/>
        <v>692.3</v>
      </c>
      <c r="S25" s="120">
        <f t="shared" si="1"/>
        <v>213.5</v>
      </c>
      <c r="T25" s="120">
        <f t="shared" si="1"/>
        <v>706.69999999999993</v>
      </c>
      <c r="U25" s="120">
        <f t="shared" si="1"/>
        <v>702.4</v>
      </c>
      <c r="V25" s="121">
        <f t="shared" si="1"/>
        <v>700.5</v>
      </c>
      <c r="W25" s="361">
        <f>SUM(W18:W24)</f>
        <v>12993.4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164.00424103198444</v>
      </c>
    </row>
    <row r="27" spans="1:31" s="2" customFormat="1" ht="33" customHeight="1" x14ac:dyDescent="0.25">
      <c r="A27" s="149" t="s">
        <v>12</v>
      </c>
      <c r="B27" s="26">
        <v>579</v>
      </c>
      <c r="C27" s="27">
        <v>576</v>
      </c>
      <c r="D27" s="27">
        <v>574</v>
      </c>
      <c r="E27" s="27">
        <v>165</v>
      </c>
      <c r="F27" s="27">
        <v>587</v>
      </c>
      <c r="G27" s="27">
        <v>577</v>
      </c>
      <c r="H27" s="28">
        <v>581</v>
      </c>
      <c r="I27" s="26">
        <v>606</v>
      </c>
      <c r="J27" s="27">
        <v>599</v>
      </c>
      <c r="K27" s="27">
        <v>611</v>
      </c>
      <c r="L27" s="27">
        <v>178</v>
      </c>
      <c r="M27" s="27">
        <v>607</v>
      </c>
      <c r="N27" s="27">
        <v>610</v>
      </c>
      <c r="O27" s="28">
        <v>610</v>
      </c>
      <c r="P27" s="26">
        <v>612</v>
      </c>
      <c r="Q27" s="27">
        <v>620</v>
      </c>
      <c r="R27" s="27">
        <v>604</v>
      </c>
      <c r="S27" s="27">
        <v>186</v>
      </c>
      <c r="T27" s="27">
        <v>615</v>
      </c>
      <c r="U27" s="27">
        <v>611</v>
      </c>
      <c r="V27" s="28">
        <v>610</v>
      </c>
      <c r="W27" s="29">
        <f>SUM(B27:V27)</f>
        <v>11318</v>
      </c>
    </row>
    <row r="28" spans="1:31" s="2" customFormat="1" ht="33" customHeight="1" x14ac:dyDescent="0.25">
      <c r="A28" s="150" t="s">
        <v>13</v>
      </c>
      <c r="B28" s="30">
        <f>((((B26*7)*B27)/1000))/7</f>
        <v>94.851779999999991</v>
      </c>
      <c r="C28" s="31">
        <f t="shared" ref="C28:V28" si="2">((((C26*7)*C27)/1000))/7</f>
        <v>94.360320000000002</v>
      </c>
      <c r="D28" s="31">
        <f t="shared" si="2"/>
        <v>94.032679999999999</v>
      </c>
      <c r="E28" s="31">
        <f t="shared" si="2"/>
        <v>27.0303</v>
      </c>
      <c r="F28" s="31">
        <f t="shared" si="2"/>
        <v>96.16234</v>
      </c>
      <c r="G28" s="31">
        <f t="shared" si="2"/>
        <v>94.524140000000003</v>
      </c>
      <c r="H28" s="32">
        <f t="shared" si="2"/>
        <v>95.179420000000007</v>
      </c>
      <c r="I28" s="30">
        <f t="shared" si="2"/>
        <v>99.274919999999995</v>
      </c>
      <c r="J28" s="31">
        <f t="shared" si="2"/>
        <v>98.12818</v>
      </c>
      <c r="K28" s="31">
        <f t="shared" si="2"/>
        <v>100.09402</v>
      </c>
      <c r="L28" s="31">
        <f t="shared" si="2"/>
        <v>29.159960000000002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99.930199999999999</v>
      </c>
      <c r="P28" s="30">
        <f t="shared" si="2"/>
        <v>100.25784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100.74929999999999</v>
      </c>
      <c r="U28" s="31">
        <f t="shared" si="2"/>
        <v>100.09402</v>
      </c>
      <c r="V28" s="32">
        <f t="shared" si="2"/>
        <v>99.930199999999999</v>
      </c>
      <c r="W28" s="362">
        <f>((W25*1000)/7)/W27</f>
        <v>164.00424103198446</v>
      </c>
    </row>
    <row r="29" spans="1:31" ht="33.75" customHeight="1" x14ac:dyDescent="0.25">
      <c r="A29" s="151" t="s">
        <v>14</v>
      </c>
      <c r="B29" s="281">
        <f>((B27*B26)*7)/1000</f>
        <v>663.96245999999996</v>
      </c>
      <c r="C29" s="282">
        <f>((C27*C26)*7)/1000</f>
        <v>660.52224000000001</v>
      </c>
      <c r="D29" s="282">
        <f t="shared" ref="D29:V29" si="3">((D27*D26)*7)/1000</f>
        <v>658.22875999999997</v>
      </c>
      <c r="E29" s="282">
        <f t="shared" si="3"/>
        <v>189.21209999999999</v>
      </c>
      <c r="F29" s="282">
        <f t="shared" si="3"/>
        <v>673.13638000000003</v>
      </c>
      <c r="G29" s="282">
        <f t="shared" si="3"/>
        <v>661.66898000000003</v>
      </c>
      <c r="H29" s="284">
        <f t="shared" si="3"/>
        <v>666.2559399999999</v>
      </c>
      <c r="I29" s="281">
        <f t="shared" si="3"/>
        <v>694.92443999999989</v>
      </c>
      <c r="J29" s="282">
        <f t="shared" si="3"/>
        <v>686.89725999999996</v>
      </c>
      <c r="K29" s="282">
        <f t="shared" si="3"/>
        <v>700.65813999999989</v>
      </c>
      <c r="L29" s="282">
        <f t="shared" si="3"/>
        <v>204.11972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699.51139999999998</v>
      </c>
      <c r="P29" s="281">
        <f t="shared" si="3"/>
        <v>701.80488000000003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705.24509999999998</v>
      </c>
      <c r="U29" s="282">
        <f t="shared" si="3"/>
        <v>700.65813999999989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163.9773007648655</v>
      </c>
      <c r="C30" s="38">
        <f t="shared" ref="C30:V30" si="4">+(C25/C27)/7*1000</f>
        <v>164.21130952380952</v>
      </c>
      <c r="D30" s="38">
        <f t="shared" si="4"/>
        <v>163.76306620209058</v>
      </c>
      <c r="E30" s="38">
        <f t="shared" si="4"/>
        <v>165.02164502164501</v>
      </c>
      <c r="F30" s="38">
        <f t="shared" si="4"/>
        <v>163.88415672913121</v>
      </c>
      <c r="G30" s="38">
        <f t="shared" si="4"/>
        <v>164.32285219113643</v>
      </c>
      <c r="H30" s="39">
        <f t="shared" si="4"/>
        <v>163.92918613228426</v>
      </c>
      <c r="I30" s="37">
        <f t="shared" si="4"/>
        <v>163.86138613861385</v>
      </c>
      <c r="J30" s="38">
        <f t="shared" si="4"/>
        <v>163.7729549248748</v>
      </c>
      <c r="K30" s="38">
        <f t="shared" si="4"/>
        <v>163.82978723404256</v>
      </c>
      <c r="L30" s="38">
        <f t="shared" si="4"/>
        <v>164.04494382022469</v>
      </c>
      <c r="M30" s="38">
        <f t="shared" si="4"/>
        <v>164.0856672158155</v>
      </c>
      <c r="N30" s="38">
        <f t="shared" si="4"/>
        <v>164.05152224824354</v>
      </c>
      <c r="O30" s="39">
        <f t="shared" si="4"/>
        <v>164.09836065573771</v>
      </c>
      <c r="P30" s="37">
        <f t="shared" si="4"/>
        <v>163.95891690009339</v>
      </c>
      <c r="Q30" s="38">
        <f t="shared" si="4"/>
        <v>163.87096774193549</v>
      </c>
      <c r="R30" s="38">
        <f t="shared" si="4"/>
        <v>163.74172185430464</v>
      </c>
      <c r="S30" s="38">
        <f t="shared" si="4"/>
        <v>163.97849462365593</v>
      </c>
      <c r="T30" s="38">
        <f t="shared" si="4"/>
        <v>164.1579558652729</v>
      </c>
      <c r="U30" s="38">
        <f t="shared" si="4"/>
        <v>164.22726209960254</v>
      </c>
      <c r="V30" s="39">
        <f t="shared" si="4"/>
        <v>164.05152224824354</v>
      </c>
      <c r="W30" s="40"/>
    </row>
    <row r="31" spans="1:31" ht="33.75" customHeight="1" x14ac:dyDescent="0.25">
      <c r="A31" s="41"/>
      <c r="B31" s="42">
        <f>B29-B25</f>
        <v>-0.63753999999994448</v>
      </c>
      <c r="C31" s="42">
        <f t="shared" ref="C31:V32" si="5">C29-C25</f>
        <v>-1.5777599999998984</v>
      </c>
      <c r="D31" s="42">
        <f t="shared" si="5"/>
        <v>0.22875999999996566</v>
      </c>
      <c r="E31" s="42">
        <f t="shared" si="5"/>
        <v>-1.3879000000000019</v>
      </c>
      <c r="F31" s="42">
        <f t="shared" si="5"/>
        <v>-0.26362000000005992</v>
      </c>
      <c r="G31" s="42">
        <f t="shared" si="5"/>
        <v>-2.0310200000000123</v>
      </c>
      <c r="H31" s="42">
        <f t="shared" si="5"/>
        <v>-0.44406000000014956</v>
      </c>
      <c r="I31" s="42">
        <f t="shared" si="5"/>
        <v>-0.17556000000001859</v>
      </c>
      <c r="J31" s="42">
        <f t="shared" si="5"/>
        <v>0.19725999999991473</v>
      </c>
      <c r="K31" s="42">
        <f t="shared" si="5"/>
        <v>-4.1860000000156106E-2</v>
      </c>
      <c r="L31" s="42">
        <f t="shared" si="5"/>
        <v>-0.28027999999997633</v>
      </c>
      <c r="M31" s="42">
        <f t="shared" si="5"/>
        <v>-1.1288200000001325</v>
      </c>
      <c r="N31" s="42">
        <f t="shared" si="5"/>
        <v>-0.98860000000001946</v>
      </c>
      <c r="O31" s="42">
        <f t="shared" si="5"/>
        <v>-1.1885999999999513</v>
      </c>
      <c r="P31" s="42">
        <f t="shared" si="5"/>
        <v>-0.59511999999995169</v>
      </c>
      <c r="Q31" s="42">
        <f t="shared" si="5"/>
        <v>-0.22120000000006712</v>
      </c>
      <c r="R31" s="42">
        <f t="shared" si="5"/>
        <v>0.33096000000000458</v>
      </c>
      <c r="S31" s="42">
        <f t="shared" si="5"/>
        <v>-0.20635999999998944</v>
      </c>
      <c r="T31" s="42">
        <f t="shared" si="5"/>
        <v>-1.4548999999999523</v>
      </c>
      <c r="U31" s="42">
        <f t="shared" si="5"/>
        <v>-1.7418600000000879</v>
      </c>
      <c r="V31" s="42">
        <f t="shared" si="5"/>
        <v>-0.98860000000001946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0.1573007648655107</v>
      </c>
      <c r="C32" s="42">
        <f t="shared" si="5"/>
        <v>0.39130952380952522</v>
      </c>
      <c r="D32" s="42">
        <f t="shared" si="5"/>
        <v>-5.6933797909408668E-2</v>
      </c>
      <c r="E32" s="42">
        <f t="shared" si="5"/>
        <v>1.201645021645021</v>
      </c>
      <c r="F32" s="42">
        <f t="shared" si="5"/>
        <v>6.4156729131212842E-2</v>
      </c>
      <c r="G32" s="42">
        <f t="shared" si="5"/>
        <v>0.50285219113644075</v>
      </c>
      <c r="H32" s="42">
        <f t="shared" si="5"/>
        <v>0.10918613228426466</v>
      </c>
      <c r="I32" s="42">
        <f t="shared" si="5"/>
        <v>4.1386138613859202E-2</v>
      </c>
      <c r="J32" s="42">
        <f t="shared" si="5"/>
        <v>-4.70450751251974E-2</v>
      </c>
      <c r="K32" s="42">
        <f t="shared" si="5"/>
        <v>9.7872340425624316E-3</v>
      </c>
      <c r="L32" s="42">
        <f t="shared" si="5"/>
        <v>0.22494382022469495</v>
      </c>
      <c r="M32" s="42">
        <f t="shared" si="5"/>
        <v>0.26566721581551178</v>
      </c>
      <c r="N32" s="42">
        <f t="shared" si="5"/>
        <v>0.23152224824355017</v>
      </c>
      <c r="O32" s="42">
        <f t="shared" si="5"/>
        <v>0.27836065573771407</v>
      </c>
      <c r="P32" s="42">
        <f t="shared" si="5"/>
        <v>0.13891690009339186</v>
      </c>
      <c r="Q32" s="42">
        <f>Q30-Q26</f>
        <v>5.0967741935494359E-2</v>
      </c>
      <c r="R32" s="42">
        <f t="shared" si="5"/>
        <v>-7.8278145695350076E-2</v>
      </c>
      <c r="S32" s="42">
        <f t="shared" si="5"/>
        <v>0.15849462365594036</v>
      </c>
      <c r="T32" s="42">
        <f t="shared" si="5"/>
        <v>0.33795586527290311</v>
      </c>
      <c r="U32" s="42">
        <f t="shared" si="5"/>
        <v>0.40726209960254778</v>
      </c>
      <c r="V32" s="42">
        <f t="shared" si="5"/>
        <v>0.23152224824355017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93.6</v>
      </c>
      <c r="C39" s="497">
        <v>95.9</v>
      </c>
      <c r="D39" s="497">
        <v>25.2</v>
      </c>
      <c r="E39" s="497">
        <v>97.3</v>
      </c>
      <c r="F39" s="497">
        <v>96.8</v>
      </c>
      <c r="G39" s="498">
        <v>97.6</v>
      </c>
      <c r="H39" s="544">
        <f t="shared" ref="H39:H46" si="6">SUM(B39:G39)</f>
        <v>506.4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93.6</v>
      </c>
      <c r="C40" s="497">
        <v>95.7</v>
      </c>
      <c r="D40" s="497">
        <v>24.8</v>
      </c>
      <c r="E40" s="497">
        <v>97.3</v>
      </c>
      <c r="F40" s="497">
        <v>96.8</v>
      </c>
      <c r="G40" s="498">
        <v>97.6</v>
      </c>
      <c r="H40" s="545">
        <f t="shared" si="6"/>
        <v>505.80000000000007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93.6</v>
      </c>
      <c r="C41" s="497">
        <v>95.7</v>
      </c>
      <c r="D41" s="497">
        <v>24.8</v>
      </c>
      <c r="E41" s="497">
        <v>97.3</v>
      </c>
      <c r="F41" s="497">
        <v>96.8</v>
      </c>
      <c r="G41" s="498">
        <v>97.6</v>
      </c>
      <c r="H41" s="545">
        <f t="shared" si="6"/>
        <v>505.80000000000007</v>
      </c>
      <c r="I41" s="49"/>
      <c r="J41" s="196"/>
      <c r="K41" s="196"/>
      <c r="L41" s="196"/>
      <c r="M41" s="2"/>
      <c r="N41" s="146" t="s">
        <v>20</v>
      </c>
      <c r="O41" s="18">
        <v>6.7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93.3</v>
      </c>
      <c r="C42" s="497">
        <v>95.5</v>
      </c>
      <c r="D42" s="497">
        <v>24.6</v>
      </c>
      <c r="E42" s="497">
        <v>97</v>
      </c>
      <c r="F42" s="497">
        <v>96.6</v>
      </c>
      <c r="G42" s="498">
        <v>97.4</v>
      </c>
      <c r="H42" s="545">
        <f t="shared" si="6"/>
        <v>504.4</v>
      </c>
      <c r="I42" s="49"/>
      <c r="J42" s="2"/>
      <c r="K42" s="2"/>
      <c r="L42" s="2"/>
      <c r="M42" s="2"/>
      <c r="N42" s="146" t="s">
        <v>28</v>
      </c>
      <c r="O42" s="18">
        <v>6.7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93.2</v>
      </c>
      <c r="C43" s="497">
        <v>95.4</v>
      </c>
      <c r="D43" s="497">
        <v>24.6</v>
      </c>
      <c r="E43" s="497">
        <v>96.8</v>
      </c>
      <c r="F43" s="497">
        <v>96.6</v>
      </c>
      <c r="G43" s="498">
        <v>97.4</v>
      </c>
      <c r="H43" s="264">
        <f t="shared" si="6"/>
        <v>504</v>
      </c>
      <c r="I43" s="49"/>
      <c r="J43" s="222"/>
      <c r="K43" s="222"/>
      <c r="L43" s="222"/>
      <c r="M43" s="2"/>
      <c r="N43" s="146" t="s">
        <v>21</v>
      </c>
      <c r="O43" s="18">
        <v>6.7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93</v>
      </c>
      <c r="C44" s="497">
        <v>95.1</v>
      </c>
      <c r="D44" s="497">
        <v>24.4</v>
      </c>
      <c r="E44" s="497">
        <v>96.6</v>
      </c>
      <c r="F44" s="497">
        <v>96.3</v>
      </c>
      <c r="G44" s="498">
        <v>96.8</v>
      </c>
      <c r="H44" s="264">
        <f t="shared" si="6"/>
        <v>502.20000000000005</v>
      </c>
      <c r="I44" s="49"/>
      <c r="J44" s="43"/>
      <c r="K44" s="43"/>
      <c r="L44" s="43"/>
      <c r="M44" s="2"/>
      <c r="N44" s="146" t="s">
        <v>22</v>
      </c>
      <c r="O44" s="18">
        <v>6.7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</v>
      </c>
      <c r="C45" s="497">
        <v>94.7</v>
      </c>
      <c r="D45" s="497">
        <v>24.4</v>
      </c>
      <c r="E45" s="497">
        <v>96.6</v>
      </c>
      <c r="F45" s="497">
        <v>96</v>
      </c>
      <c r="G45" s="498">
        <v>96.6</v>
      </c>
      <c r="H45" s="265">
        <f t="shared" si="6"/>
        <v>501.29999999999995</v>
      </c>
      <c r="I45" s="49"/>
      <c r="J45" s="41"/>
      <c r="K45" s="41"/>
      <c r="L45" s="41"/>
      <c r="M45" s="2"/>
      <c r="N45" s="146" t="s">
        <v>23</v>
      </c>
      <c r="O45" s="18">
        <v>6.7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653.29999999999995</v>
      </c>
      <c r="C46" s="120">
        <f t="shared" si="8"/>
        <v>668.00000000000011</v>
      </c>
      <c r="D46" s="120">
        <f t="shared" si="8"/>
        <v>172.8</v>
      </c>
      <c r="E46" s="120">
        <f t="shared" si="8"/>
        <v>678.9</v>
      </c>
      <c r="F46" s="120">
        <f t="shared" si="8"/>
        <v>675.9</v>
      </c>
      <c r="G46" s="121">
        <f t="shared" si="8"/>
        <v>680.99999999999989</v>
      </c>
      <c r="H46" s="275">
        <f t="shared" si="6"/>
        <v>3529.9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46.900000000000006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255.5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159.63008185230407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148.3739837398374</v>
      </c>
      <c r="V47" s="50"/>
    </row>
    <row r="48" spans="1:31" ht="33.75" customHeight="1" x14ac:dyDescent="0.25">
      <c r="A48" s="149" t="s">
        <v>12</v>
      </c>
      <c r="B48" s="26">
        <v>585</v>
      </c>
      <c r="C48" s="27">
        <v>597</v>
      </c>
      <c r="D48" s="27">
        <v>154</v>
      </c>
      <c r="E48" s="27">
        <v>609</v>
      </c>
      <c r="F48" s="27">
        <v>605</v>
      </c>
      <c r="G48" s="28">
        <v>609</v>
      </c>
      <c r="H48" s="129">
        <f>SUM(B48:G48)</f>
        <v>3159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92.839500000000001</v>
      </c>
      <c r="C49" s="31">
        <f t="shared" ref="C49:G49" si="10">(C48*C47)/1000</f>
        <v>94.743899999999996</v>
      </c>
      <c r="D49" s="31">
        <f t="shared" si="10"/>
        <v>24.439799999999998</v>
      </c>
      <c r="E49" s="31">
        <f t="shared" si="10"/>
        <v>96.648299999999992</v>
      </c>
      <c r="F49" s="31">
        <f t="shared" si="10"/>
        <v>96.013499999999993</v>
      </c>
      <c r="G49" s="32">
        <f t="shared" si="10"/>
        <v>96.648299999999992</v>
      </c>
      <c r="H49" s="130">
        <f>((H46*1000)/H48)/7</f>
        <v>159.63008185230407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6.7868000000000013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148.37398373983737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649.87649999999996</v>
      </c>
      <c r="C50" s="282">
        <f t="shared" si="12"/>
        <v>663.20729999999992</v>
      </c>
      <c r="D50" s="282">
        <f t="shared" si="12"/>
        <v>171.07859999999999</v>
      </c>
      <c r="E50" s="282">
        <f t="shared" si="12"/>
        <v>676.53809999999987</v>
      </c>
      <c r="F50" s="282">
        <f t="shared" si="12"/>
        <v>672.09450000000004</v>
      </c>
      <c r="G50" s="284">
        <f t="shared" si="12"/>
        <v>676.53809999999987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159.53601953601952</v>
      </c>
      <c r="C51" s="38">
        <f t="shared" si="14"/>
        <v>159.84685331419004</v>
      </c>
      <c r="D51" s="38">
        <f t="shared" si="14"/>
        <v>160.29684601113175</v>
      </c>
      <c r="E51" s="38">
        <f t="shared" si="14"/>
        <v>159.25404644616466</v>
      </c>
      <c r="F51" s="38">
        <f t="shared" si="14"/>
        <v>159.59858323494689</v>
      </c>
      <c r="G51" s="39">
        <f t="shared" si="14"/>
        <v>159.74665728360307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145.6521739130435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-3.42349999999999</v>
      </c>
      <c r="C52" s="42">
        <f t="shared" ref="C52:G53" si="16">C50-C46</f>
        <v>-4.7927000000001954</v>
      </c>
      <c r="D52" s="42">
        <f t="shared" si="16"/>
        <v>-1.7214000000000169</v>
      </c>
      <c r="E52" s="42">
        <f t="shared" si="16"/>
        <v>-2.3619000000001051</v>
      </c>
      <c r="F52" s="42">
        <f t="shared" si="16"/>
        <v>-3.8054999999999382</v>
      </c>
      <c r="G52" s="42">
        <f t="shared" si="16"/>
        <v>-4.4619000000000142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0.4339999999999975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0.83601953601953483</v>
      </c>
      <c r="C53" s="42">
        <f t="shared" si="16"/>
        <v>1.1468533141900537</v>
      </c>
      <c r="D53" s="42">
        <f t="shared" si="16"/>
        <v>1.5968460111317597</v>
      </c>
      <c r="E53" s="42">
        <f t="shared" si="16"/>
        <v>0.55404644616467635</v>
      </c>
      <c r="F53" s="42">
        <f t="shared" si="16"/>
        <v>0.89858323494689785</v>
      </c>
      <c r="G53" s="42">
        <f t="shared" si="16"/>
        <v>1.0466572836030821</v>
      </c>
      <c r="I53" s="2"/>
      <c r="J53" s="2"/>
      <c r="K53" s="45"/>
      <c r="L53" s="41"/>
      <c r="M53" s="42"/>
      <c r="N53" s="42"/>
      <c r="O53" s="42">
        <f t="shared" si="17"/>
        <v>-1.347826086956502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061"/>
      <c r="C54" s="1061"/>
      <c r="D54" s="106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7.8</v>
      </c>
      <c r="K60" s="19">
        <v>8.4</v>
      </c>
      <c r="L60" s="267">
        <v>2.1</v>
      </c>
      <c r="M60" s="267">
        <v>7.9</v>
      </c>
      <c r="N60" s="19">
        <v>8.1</v>
      </c>
      <c r="O60" s="474">
        <v>8.1999999999999993</v>
      </c>
      <c r="P60" s="281">
        <v>8.1999999999999993</v>
      </c>
      <c r="Q60" s="282">
        <v>8.3000000000000007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150.60000000000002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7.8</v>
      </c>
      <c r="K61" s="19">
        <v>8.4</v>
      </c>
      <c r="L61" s="267">
        <v>2.1</v>
      </c>
      <c r="M61" s="267">
        <v>7.9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150.60000000000002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7.9</v>
      </c>
      <c r="I62" s="18">
        <v>8.1</v>
      </c>
      <c r="J62" s="19">
        <v>7.8</v>
      </c>
      <c r="K62" s="19">
        <v>8.4</v>
      </c>
      <c r="L62" s="267">
        <v>2.1</v>
      </c>
      <c r="M62" s="267">
        <v>7.9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7.7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150.4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7.9</v>
      </c>
      <c r="I63" s="18">
        <v>8.1</v>
      </c>
      <c r="J63" s="19">
        <v>7.8</v>
      </c>
      <c r="K63" s="19">
        <v>8.4</v>
      </c>
      <c r="L63" s="267">
        <v>2.1</v>
      </c>
      <c r="M63" s="267">
        <v>7.9</v>
      </c>
      <c r="N63" s="19">
        <v>7.9</v>
      </c>
      <c r="O63" s="474">
        <v>8.1999999999999993</v>
      </c>
      <c r="P63" s="281">
        <v>8.1999999999999993</v>
      </c>
      <c r="Q63" s="282">
        <v>8.3000000000000007</v>
      </c>
      <c r="R63" s="282">
        <v>7.7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150.20000000000002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2.1</v>
      </c>
      <c r="F64" s="19">
        <v>7.9</v>
      </c>
      <c r="G64" s="19">
        <v>7.9</v>
      </c>
      <c r="H64" s="104">
        <v>7.9</v>
      </c>
      <c r="I64" s="18">
        <v>8.1</v>
      </c>
      <c r="J64" s="19">
        <v>7.8</v>
      </c>
      <c r="K64" s="19">
        <v>8.4</v>
      </c>
      <c r="L64" s="267">
        <v>2.1</v>
      </c>
      <c r="M64" s="267">
        <v>7.9</v>
      </c>
      <c r="N64" s="19">
        <v>7.9</v>
      </c>
      <c r="O64" s="474">
        <v>8.1999999999999993</v>
      </c>
      <c r="P64" s="281">
        <v>8.1999999999999993</v>
      </c>
      <c r="Q64" s="282">
        <v>8</v>
      </c>
      <c r="R64" s="282">
        <v>7.7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149.70000000000002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2.1</v>
      </c>
      <c r="F65" s="19">
        <v>7.9</v>
      </c>
      <c r="G65" s="19">
        <v>7.9</v>
      </c>
      <c r="H65" s="104">
        <v>7.9</v>
      </c>
      <c r="I65" s="18">
        <v>8.1</v>
      </c>
      <c r="J65" s="19">
        <v>7.8</v>
      </c>
      <c r="K65" s="19">
        <v>8.4</v>
      </c>
      <c r="L65" s="267">
        <v>2.1</v>
      </c>
      <c r="M65" s="267">
        <v>7.9</v>
      </c>
      <c r="N65" s="19">
        <v>7.9</v>
      </c>
      <c r="O65" s="474">
        <v>8.1999999999999993</v>
      </c>
      <c r="P65" s="281">
        <v>8.1999999999999993</v>
      </c>
      <c r="Q65" s="282">
        <v>8</v>
      </c>
      <c r="R65" s="282">
        <v>7.7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149.70000000000002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2.1</v>
      </c>
      <c r="F66" s="19">
        <v>7.9</v>
      </c>
      <c r="G66" s="19">
        <v>7.9</v>
      </c>
      <c r="H66" s="104">
        <v>7.9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7.9</v>
      </c>
      <c r="O66" s="474">
        <v>8.1999999999999993</v>
      </c>
      <c r="P66" s="281">
        <v>8.1999999999999993</v>
      </c>
      <c r="Q66" s="282">
        <v>8</v>
      </c>
      <c r="R66" s="282">
        <v>7.7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149.70000000000002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15.499999999999998</v>
      </c>
      <c r="F67" s="120">
        <f t="shared" si="19"/>
        <v>55.3</v>
      </c>
      <c r="G67" s="120">
        <f t="shared" si="19"/>
        <v>55.3</v>
      </c>
      <c r="H67" s="268">
        <f t="shared" si="19"/>
        <v>55.699999999999996</v>
      </c>
      <c r="I67" s="122">
        <f t="shared" si="19"/>
        <v>56.7</v>
      </c>
      <c r="J67" s="120">
        <f t="shared" si="19"/>
        <v>54.599999999999994</v>
      </c>
      <c r="K67" s="120">
        <f t="shared" si="19"/>
        <v>58.8</v>
      </c>
      <c r="L67" s="120">
        <f t="shared" si="19"/>
        <v>14.7</v>
      </c>
      <c r="M67" s="120">
        <f t="shared" si="19"/>
        <v>55.3</v>
      </c>
      <c r="N67" s="120">
        <f t="shared" si="19"/>
        <v>55.899999999999991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57.2</v>
      </c>
      <c r="R67" s="120">
        <f t="shared" si="19"/>
        <v>53.900000000000006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1050.9000000000001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154.45326278659613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51</v>
      </c>
      <c r="H69" s="156">
        <v>51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52</v>
      </c>
      <c r="O69" s="28">
        <v>54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2.0984000000000003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7.8627000000000011</v>
      </c>
      <c r="I70" s="358">
        <f t="shared" si="20"/>
        <v>8.1497000000000011</v>
      </c>
      <c r="J70" s="31">
        <f t="shared" si="20"/>
        <v>7.9112999999999998</v>
      </c>
      <c r="K70" s="31">
        <f t="shared" si="20"/>
        <v>8.2824000000000009</v>
      </c>
      <c r="L70" s="31">
        <f t="shared" si="20"/>
        <v>2.1979999999999995</v>
      </c>
      <c r="M70" s="31">
        <f t="shared" si="20"/>
        <v>8.0511999999999997</v>
      </c>
      <c r="N70" s="31">
        <f t="shared" si="20"/>
        <v>7.934800000000001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8.0003999999999991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154.4532627865961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15.092000000000001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55.513500000000001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158.16326530612244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156.02240896358541</v>
      </c>
      <c r="I72" s="37">
        <f t="shared" si="22"/>
        <v>152.83018867924531</v>
      </c>
      <c r="J72" s="38">
        <f t="shared" si="22"/>
        <v>152.94117647058823</v>
      </c>
      <c r="K72" s="38">
        <f t="shared" si="22"/>
        <v>155.55555555555554</v>
      </c>
      <c r="L72" s="38">
        <f t="shared" si="22"/>
        <v>150</v>
      </c>
      <c r="M72" s="38">
        <f t="shared" si="22"/>
        <v>151.92307692307691</v>
      </c>
      <c r="N72" s="38">
        <f t="shared" si="22"/>
        <v>153.57142857142853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157.14285714285717</v>
      </c>
      <c r="R72" s="38">
        <f t="shared" si="22"/>
        <v>154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-0.4079999999999977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-0.18649999999999523</v>
      </c>
      <c r="I73" s="42">
        <f t="shared" si="23"/>
        <v>0.24849999999999994</v>
      </c>
      <c r="J73" s="42">
        <f t="shared" si="23"/>
        <v>0.55650000000000688</v>
      </c>
      <c r="K73" s="42">
        <f t="shared" si="23"/>
        <v>-0.58799999999999386</v>
      </c>
      <c r="L73" s="42">
        <f t="shared" si="23"/>
        <v>0.49000000000000021</v>
      </c>
      <c r="M73" s="42">
        <f t="shared" si="23"/>
        <v>0.75600000000000023</v>
      </c>
      <c r="N73" s="42">
        <f t="shared" si="23"/>
        <v>-2.5999999999989143E-2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-0.59800000000000608</v>
      </c>
      <c r="R73" s="42">
        <f t="shared" si="23"/>
        <v>0.52499999999999147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4.1632653061224403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0.52240896358540567</v>
      </c>
      <c r="I74" s="42">
        <f t="shared" si="23"/>
        <v>-0.66981132075468963</v>
      </c>
      <c r="J74" s="42">
        <f t="shared" si="23"/>
        <v>-1.558823529411768</v>
      </c>
      <c r="K74" s="42">
        <f t="shared" si="23"/>
        <v>1.5555555555555429</v>
      </c>
      <c r="L74" s="42">
        <f t="shared" si="23"/>
        <v>-5</v>
      </c>
      <c r="M74" s="42">
        <f t="shared" si="23"/>
        <v>-2.0769230769230944</v>
      </c>
      <c r="N74" s="42">
        <f t="shared" si="23"/>
        <v>7.1428571428526766E-2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1.6428571428571672</v>
      </c>
      <c r="R74" s="42">
        <f t="shared" si="23"/>
        <v>-1.5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50"/>
  <dimension ref="A1:AE244"/>
  <sheetViews>
    <sheetView zoomScale="30" zoomScaleNormal="30" workbookViewId="0">
      <selection activeCell="B24" sqref="B24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34</v>
      </c>
      <c r="Q11" s="1022"/>
      <c r="R11" s="6"/>
      <c r="S11" s="1" t="s">
        <v>6</v>
      </c>
      <c r="T11" s="95">
        <v>45613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94.9</v>
      </c>
      <c r="C18" s="497">
        <v>94.4</v>
      </c>
      <c r="D18" s="497">
        <v>93.9</v>
      </c>
      <c r="E18" s="497">
        <v>27</v>
      </c>
      <c r="F18" s="497">
        <v>96.2</v>
      </c>
      <c r="G18" s="497">
        <v>94.5</v>
      </c>
      <c r="H18" s="498">
        <v>95.2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99.4</v>
      </c>
      <c r="N18" s="497">
        <v>99.9</v>
      </c>
      <c r="O18" s="497">
        <v>99.9</v>
      </c>
      <c r="P18" s="133">
        <v>100.3</v>
      </c>
      <c r="Q18" s="497">
        <v>101.6</v>
      </c>
      <c r="R18" s="497">
        <v>98.9</v>
      </c>
      <c r="S18" s="497">
        <v>30.5</v>
      </c>
      <c r="T18" s="497">
        <v>100.6</v>
      </c>
      <c r="U18" s="497">
        <v>100.1</v>
      </c>
      <c r="V18" s="498">
        <v>99.9</v>
      </c>
      <c r="W18" s="543">
        <f t="shared" ref="W18:W24" si="0">SUM(B18:V18)</f>
        <v>1853.9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94.9</v>
      </c>
      <c r="C19" s="497">
        <v>94.4</v>
      </c>
      <c r="D19" s="497">
        <v>93.7</v>
      </c>
      <c r="E19" s="497">
        <v>26.9</v>
      </c>
      <c r="F19" s="497">
        <v>96</v>
      </c>
      <c r="G19" s="497">
        <v>94.4</v>
      </c>
      <c r="H19" s="498">
        <v>95.2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99.4</v>
      </c>
      <c r="N19" s="497">
        <v>99.9</v>
      </c>
      <c r="O19" s="497">
        <v>99.9</v>
      </c>
      <c r="P19" s="133">
        <v>100.3</v>
      </c>
      <c r="Q19" s="497">
        <v>101.6</v>
      </c>
      <c r="R19" s="497">
        <v>98.9</v>
      </c>
      <c r="S19" s="497">
        <v>30.5</v>
      </c>
      <c r="T19" s="497">
        <v>100.6</v>
      </c>
      <c r="U19" s="497">
        <v>100.1</v>
      </c>
      <c r="V19" s="498">
        <v>99.9</v>
      </c>
      <c r="W19" s="543">
        <f>SUM(B19:V19)</f>
        <v>1853.3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94.9</v>
      </c>
      <c r="C20" s="497">
        <v>94.4</v>
      </c>
      <c r="D20" s="497">
        <v>93.7</v>
      </c>
      <c r="E20" s="497">
        <v>26.9</v>
      </c>
      <c r="F20" s="497">
        <v>96</v>
      </c>
      <c r="G20" s="497">
        <v>94.4</v>
      </c>
      <c r="H20" s="498">
        <v>95.2</v>
      </c>
      <c r="I20" s="126">
        <v>99.1</v>
      </c>
      <c r="J20" s="497">
        <v>98.1</v>
      </c>
      <c r="K20" s="497">
        <v>100.1</v>
      </c>
      <c r="L20" s="497">
        <v>29</v>
      </c>
      <c r="M20" s="497">
        <v>99.4</v>
      </c>
      <c r="N20" s="497">
        <v>99.9</v>
      </c>
      <c r="O20" s="497">
        <v>99.9</v>
      </c>
      <c r="P20" s="133">
        <v>100.3</v>
      </c>
      <c r="Q20" s="497">
        <v>101.6</v>
      </c>
      <c r="R20" s="497">
        <v>98.9</v>
      </c>
      <c r="S20" s="497">
        <v>30.5</v>
      </c>
      <c r="T20" s="497">
        <v>100.6</v>
      </c>
      <c r="U20" s="497">
        <v>100.1</v>
      </c>
      <c r="V20" s="498">
        <v>99.9</v>
      </c>
      <c r="W20" s="543">
        <f t="shared" si="0"/>
        <v>1852.9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94.7</v>
      </c>
      <c r="C21" s="497">
        <v>94.4</v>
      </c>
      <c r="D21" s="497">
        <v>93.5</v>
      </c>
      <c r="E21" s="497">
        <v>26.9</v>
      </c>
      <c r="F21" s="497">
        <v>96</v>
      </c>
      <c r="G21" s="497">
        <v>94.2</v>
      </c>
      <c r="H21" s="498">
        <v>95.2</v>
      </c>
      <c r="I21" s="126">
        <v>99.1</v>
      </c>
      <c r="J21" s="497">
        <v>98.1</v>
      </c>
      <c r="K21" s="497">
        <v>100.1</v>
      </c>
      <c r="L21" s="497">
        <v>28.8</v>
      </c>
      <c r="M21" s="497">
        <v>99.4</v>
      </c>
      <c r="N21" s="497">
        <v>99.9</v>
      </c>
      <c r="O21" s="497">
        <v>99.8</v>
      </c>
      <c r="P21" s="133">
        <v>100.3</v>
      </c>
      <c r="Q21" s="497">
        <v>101.4</v>
      </c>
      <c r="R21" s="497">
        <v>98.9</v>
      </c>
      <c r="S21" s="497">
        <v>30.3</v>
      </c>
      <c r="T21" s="497">
        <v>100.6</v>
      </c>
      <c r="U21" s="497">
        <v>100.1</v>
      </c>
      <c r="V21" s="498">
        <v>99.9</v>
      </c>
      <c r="W21" s="98">
        <f t="shared" si="0"/>
        <v>1851.6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94.7</v>
      </c>
      <c r="C22" s="497">
        <v>94.4</v>
      </c>
      <c r="D22" s="497">
        <v>93.5</v>
      </c>
      <c r="E22" s="497">
        <v>26.9</v>
      </c>
      <c r="F22" s="497">
        <v>96</v>
      </c>
      <c r="G22" s="497">
        <v>94.2</v>
      </c>
      <c r="H22" s="498">
        <v>95.2</v>
      </c>
      <c r="I22" s="126">
        <v>99.1</v>
      </c>
      <c r="J22" s="497">
        <v>98</v>
      </c>
      <c r="K22" s="497">
        <v>100.1</v>
      </c>
      <c r="L22" s="497">
        <v>28.8</v>
      </c>
      <c r="M22" s="497">
        <v>99.4</v>
      </c>
      <c r="N22" s="497">
        <v>99.9</v>
      </c>
      <c r="O22" s="497">
        <v>99.8</v>
      </c>
      <c r="P22" s="133">
        <v>100.3</v>
      </c>
      <c r="Q22" s="497">
        <v>101.4</v>
      </c>
      <c r="R22" s="497">
        <v>98.9</v>
      </c>
      <c r="S22" s="497">
        <v>30.3</v>
      </c>
      <c r="T22" s="497">
        <v>100.6</v>
      </c>
      <c r="U22" s="497">
        <v>99.9</v>
      </c>
      <c r="V22" s="498">
        <v>99.9</v>
      </c>
      <c r="W22" s="98">
        <f t="shared" si="0"/>
        <v>1851.3000000000002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94.7</v>
      </c>
      <c r="C23" s="497">
        <v>94.4</v>
      </c>
      <c r="D23" s="497">
        <v>93.5</v>
      </c>
      <c r="E23" s="497">
        <v>26.9</v>
      </c>
      <c r="F23" s="497">
        <v>96</v>
      </c>
      <c r="G23" s="497">
        <v>94.2</v>
      </c>
      <c r="H23" s="498">
        <v>95.2</v>
      </c>
      <c r="I23" s="126">
        <v>99.1</v>
      </c>
      <c r="J23" s="497">
        <v>98</v>
      </c>
      <c r="K23" s="497">
        <v>99.9</v>
      </c>
      <c r="L23" s="497">
        <v>28.8</v>
      </c>
      <c r="M23" s="497">
        <v>99.4</v>
      </c>
      <c r="N23" s="497">
        <v>99.9</v>
      </c>
      <c r="O23" s="497">
        <v>99.8</v>
      </c>
      <c r="P23" s="133">
        <v>100.3</v>
      </c>
      <c r="Q23" s="497">
        <v>101.4</v>
      </c>
      <c r="R23" s="497">
        <v>98.9</v>
      </c>
      <c r="S23" s="497">
        <v>30.3</v>
      </c>
      <c r="T23" s="497">
        <v>100.6</v>
      </c>
      <c r="U23" s="497">
        <v>99.8</v>
      </c>
      <c r="V23" s="498">
        <v>99.9</v>
      </c>
      <c r="W23" s="98">
        <f t="shared" si="0"/>
        <v>1851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94.5</v>
      </c>
      <c r="C24" s="497">
        <v>94.4</v>
      </c>
      <c r="D24" s="497">
        <v>93.5</v>
      </c>
      <c r="E24" s="497">
        <v>26.9</v>
      </c>
      <c r="F24" s="497">
        <v>95.8</v>
      </c>
      <c r="G24" s="497">
        <v>93.9</v>
      </c>
      <c r="H24" s="498">
        <v>95.2</v>
      </c>
      <c r="I24" s="126">
        <v>99.1</v>
      </c>
      <c r="J24" s="497">
        <v>97.8</v>
      </c>
      <c r="K24" s="497">
        <v>99.9</v>
      </c>
      <c r="L24" s="497">
        <v>28.8</v>
      </c>
      <c r="M24" s="497">
        <v>99.4</v>
      </c>
      <c r="N24" s="497">
        <v>99.9</v>
      </c>
      <c r="O24" s="497">
        <v>99.8</v>
      </c>
      <c r="P24" s="133">
        <v>100.3</v>
      </c>
      <c r="Q24" s="497">
        <v>101.4</v>
      </c>
      <c r="R24" s="497">
        <v>98.9</v>
      </c>
      <c r="S24" s="497">
        <v>30.3</v>
      </c>
      <c r="T24" s="497">
        <v>100.6</v>
      </c>
      <c r="U24" s="497">
        <v>99.6</v>
      </c>
      <c r="V24" s="498">
        <v>99.9</v>
      </c>
      <c r="W24" s="98">
        <f t="shared" si="0"/>
        <v>1849.8999999999999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663.30000000000007</v>
      </c>
      <c r="C25" s="120">
        <f>SUM(C18:C24)</f>
        <v>660.8</v>
      </c>
      <c r="D25" s="120">
        <f t="shared" ref="D25:V25" si="1">SUM(D18:D24)</f>
        <v>655.29999999999995</v>
      </c>
      <c r="E25" s="120">
        <f t="shared" si="1"/>
        <v>188.4</v>
      </c>
      <c r="F25" s="120">
        <f t="shared" si="1"/>
        <v>672</v>
      </c>
      <c r="G25" s="120">
        <f t="shared" si="1"/>
        <v>659.8</v>
      </c>
      <c r="H25" s="121">
        <f t="shared" si="1"/>
        <v>666.40000000000009</v>
      </c>
      <c r="I25" s="122">
        <f t="shared" si="1"/>
        <v>694.1</v>
      </c>
      <c r="J25" s="120">
        <f t="shared" si="1"/>
        <v>686.19999999999993</v>
      </c>
      <c r="K25" s="120">
        <f t="shared" si="1"/>
        <v>700.3</v>
      </c>
      <c r="L25" s="120">
        <f t="shared" si="1"/>
        <v>202.60000000000002</v>
      </c>
      <c r="M25" s="120">
        <f t="shared" si="1"/>
        <v>695.8</v>
      </c>
      <c r="N25" s="120">
        <f t="shared" si="1"/>
        <v>699.3</v>
      </c>
      <c r="O25" s="121">
        <f t="shared" si="1"/>
        <v>698.9</v>
      </c>
      <c r="P25" s="122">
        <f t="shared" si="1"/>
        <v>702.09999999999991</v>
      </c>
      <c r="Q25" s="120">
        <f t="shared" si="1"/>
        <v>710.39999999999986</v>
      </c>
      <c r="R25" s="120">
        <f t="shared" si="1"/>
        <v>692.3</v>
      </c>
      <c r="S25" s="120">
        <f t="shared" si="1"/>
        <v>212.70000000000002</v>
      </c>
      <c r="T25" s="120">
        <f t="shared" si="1"/>
        <v>704.2</v>
      </c>
      <c r="U25" s="120">
        <f t="shared" si="1"/>
        <v>699.69999999999993</v>
      </c>
      <c r="V25" s="121">
        <f t="shared" si="1"/>
        <v>699.3</v>
      </c>
      <c r="W25" s="361">
        <f>SUM(W18:W24)</f>
        <v>12963.9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163.99413037153229</v>
      </c>
    </row>
    <row r="27" spans="1:31" s="2" customFormat="1" ht="33" customHeight="1" x14ac:dyDescent="0.25">
      <c r="A27" s="149" t="s">
        <v>12</v>
      </c>
      <c r="B27" s="26">
        <v>577</v>
      </c>
      <c r="C27" s="27">
        <v>576</v>
      </c>
      <c r="D27" s="27">
        <v>571</v>
      </c>
      <c r="E27" s="27">
        <v>164</v>
      </c>
      <c r="F27" s="27">
        <v>585</v>
      </c>
      <c r="G27" s="27">
        <v>573</v>
      </c>
      <c r="H27" s="28">
        <v>581</v>
      </c>
      <c r="I27" s="26">
        <v>605</v>
      </c>
      <c r="J27" s="27">
        <v>597</v>
      </c>
      <c r="K27" s="27">
        <v>610</v>
      </c>
      <c r="L27" s="27">
        <v>176</v>
      </c>
      <c r="M27" s="27">
        <v>607</v>
      </c>
      <c r="N27" s="27">
        <v>610</v>
      </c>
      <c r="O27" s="28">
        <v>609</v>
      </c>
      <c r="P27" s="26">
        <v>612</v>
      </c>
      <c r="Q27" s="27">
        <v>619</v>
      </c>
      <c r="R27" s="27">
        <v>604</v>
      </c>
      <c r="S27" s="27">
        <v>185</v>
      </c>
      <c r="T27" s="27">
        <v>614</v>
      </c>
      <c r="U27" s="27">
        <v>608</v>
      </c>
      <c r="V27" s="28">
        <v>610</v>
      </c>
      <c r="W27" s="29">
        <f>SUM(B27:V27)</f>
        <v>11293</v>
      </c>
    </row>
    <row r="28" spans="1:31" s="2" customFormat="1" ht="33" customHeight="1" x14ac:dyDescent="0.25">
      <c r="A28" s="150" t="s">
        <v>13</v>
      </c>
      <c r="B28" s="30">
        <f>((((B26*7)*B27)/1000))/7</f>
        <v>94.524140000000003</v>
      </c>
      <c r="C28" s="31">
        <f t="shared" ref="C28:V28" si="2">((((C26*7)*C27)/1000))/7</f>
        <v>94.360320000000002</v>
      </c>
      <c r="D28" s="31">
        <f t="shared" si="2"/>
        <v>93.541219999999996</v>
      </c>
      <c r="E28" s="31">
        <f t="shared" si="2"/>
        <v>26.866480000000003</v>
      </c>
      <c r="F28" s="31">
        <f t="shared" si="2"/>
        <v>95.834699999999998</v>
      </c>
      <c r="G28" s="31">
        <f t="shared" si="2"/>
        <v>93.868860000000012</v>
      </c>
      <c r="H28" s="32">
        <f t="shared" si="2"/>
        <v>95.179420000000007</v>
      </c>
      <c r="I28" s="30">
        <f t="shared" si="2"/>
        <v>99.111099999999993</v>
      </c>
      <c r="J28" s="31">
        <f t="shared" si="2"/>
        <v>97.800539999999998</v>
      </c>
      <c r="K28" s="31">
        <f t="shared" si="2"/>
        <v>99.930199999999999</v>
      </c>
      <c r="L28" s="31">
        <f t="shared" si="2"/>
        <v>28.832319999999999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99.766380000000012</v>
      </c>
      <c r="P28" s="30">
        <f t="shared" si="2"/>
        <v>100.25784</v>
      </c>
      <c r="Q28" s="31">
        <f t="shared" si="2"/>
        <v>101.40458000000001</v>
      </c>
      <c r="R28" s="31">
        <f t="shared" si="2"/>
        <v>98.947279999999992</v>
      </c>
      <c r="S28" s="31">
        <f t="shared" si="2"/>
        <v>30.306699999999999</v>
      </c>
      <c r="T28" s="31">
        <f t="shared" si="2"/>
        <v>100.58547999999999</v>
      </c>
      <c r="U28" s="31">
        <f t="shared" si="2"/>
        <v>99.602560000000011</v>
      </c>
      <c r="V28" s="32">
        <f t="shared" si="2"/>
        <v>99.930199999999999</v>
      </c>
      <c r="W28" s="362">
        <f>((W25*1000)/7)/W27</f>
        <v>163.99413037153229</v>
      </c>
    </row>
    <row r="29" spans="1:31" ht="33.75" customHeight="1" x14ac:dyDescent="0.25">
      <c r="A29" s="151" t="s">
        <v>14</v>
      </c>
      <c r="B29" s="281">
        <f>((B27*B26)*7)/1000</f>
        <v>661.66898000000003</v>
      </c>
      <c r="C29" s="282">
        <f>((C27*C26)*7)/1000</f>
        <v>660.52224000000001</v>
      </c>
      <c r="D29" s="282">
        <f t="shared" ref="D29:V29" si="3">((D27*D26)*7)/1000</f>
        <v>654.78854000000001</v>
      </c>
      <c r="E29" s="282">
        <f t="shared" si="3"/>
        <v>188.06536</v>
      </c>
      <c r="F29" s="282">
        <f t="shared" si="3"/>
        <v>670.84289999999999</v>
      </c>
      <c r="G29" s="282">
        <f t="shared" si="3"/>
        <v>657.08202000000006</v>
      </c>
      <c r="H29" s="284">
        <f t="shared" si="3"/>
        <v>666.2559399999999</v>
      </c>
      <c r="I29" s="281">
        <f t="shared" si="3"/>
        <v>693.77769999999998</v>
      </c>
      <c r="J29" s="282">
        <f t="shared" si="3"/>
        <v>684.60377999999992</v>
      </c>
      <c r="K29" s="282">
        <f t="shared" si="3"/>
        <v>699.51139999999998</v>
      </c>
      <c r="L29" s="282">
        <f t="shared" si="3"/>
        <v>201.82623999999998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698.36465999999996</v>
      </c>
      <c r="P29" s="281">
        <f t="shared" si="3"/>
        <v>701.80488000000003</v>
      </c>
      <c r="Q29" s="282">
        <f t="shared" si="3"/>
        <v>709.83206000000007</v>
      </c>
      <c r="R29" s="282">
        <f t="shared" si="3"/>
        <v>692.63095999999996</v>
      </c>
      <c r="S29" s="282">
        <f t="shared" si="3"/>
        <v>212.14689999999996</v>
      </c>
      <c r="T29" s="282">
        <f t="shared" si="3"/>
        <v>704.09835999999996</v>
      </c>
      <c r="U29" s="282">
        <f t="shared" si="3"/>
        <v>697.21791999999994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164.22381777667741</v>
      </c>
      <c r="C30" s="38">
        <f t="shared" ref="C30:V30" si="4">+(C25/C27)/7*1000</f>
        <v>163.88888888888889</v>
      </c>
      <c r="D30" s="38">
        <f t="shared" si="4"/>
        <v>163.94796097072802</v>
      </c>
      <c r="E30" s="38">
        <f t="shared" si="4"/>
        <v>164.11149825783974</v>
      </c>
      <c r="F30" s="38">
        <f t="shared" si="4"/>
        <v>164.10256410256412</v>
      </c>
      <c r="G30" s="38">
        <f t="shared" si="4"/>
        <v>164.49763151333832</v>
      </c>
      <c r="H30" s="39">
        <f t="shared" si="4"/>
        <v>163.85542168674701</v>
      </c>
      <c r="I30" s="37">
        <f t="shared" si="4"/>
        <v>163.89610389610391</v>
      </c>
      <c r="J30" s="38">
        <f t="shared" si="4"/>
        <v>164.20196219191195</v>
      </c>
      <c r="K30" s="38">
        <f t="shared" si="4"/>
        <v>164.00468384074941</v>
      </c>
      <c r="L30" s="38">
        <f t="shared" si="4"/>
        <v>164.44805194805198</v>
      </c>
      <c r="M30" s="38">
        <f t="shared" si="4"/>
        <v>163.75617792421747</v>
      </c>
      <c r="N30" s="38">
        <f t="shared" si="4"/>
        <v>163.77049180327867</v>
      </c>
      <c r="O30" s="39">
        <f t="shared" si="4"/>
        <v>163.9455782312925</v>
      </c>
      <c r="P30" s="37">
        <f t="shared" si="4"/>
        <v>163.88888888888889</v>
      </c>
      <c r="Q30" s="38">
        <f t="shared" si="4"/>
        <v>163.95107315947376</v>
      </c>
      <c r="R30" s="38">
        <f t="shared" si="4"/>
        <v>163.74172185430464</v>
      </c>
      <c r="S30" s="38">
        <f t="shared" si="4"/>
        <v>164.24710424710426</v>
      </c>
      <c r="T30" s="38">
        <f t="shared" si="4"/>
        <v>163.84364820846906</v>
      </c>
      <c r="U30" s="38">
        <f t="shared" si="4"/>
        <v>164.40319548872179</v>
      </c>
      <c r="V30" s="39">
        <f t="shared" si="4"/>
        <v>163.77049180327867</v>
      </c>
      <c r="W30" s="40"/>
    </row>
    <row r="31" spans="1:31" ht="33.75" customHeight="1" x14ac:dyDescent="0.25">
      <c r="A31" s="41"/>
      <c r="B31" s="42">
        <f>B29-B25</f>
        <v>-1.631020000000035</v>
      </c>
      <c r="C31" s="42">
        <f t="shared" ref="C31:V32" si="5">C29-C25</f>
        <v>-0.27775999999994383</v>
      </c>
      <c r="D31" s="42">
        <f t="shared" si="5"/>
        <v>-0.51145999999994274</v>
      </c>
      <c r="E31" s="42">
        <f t="shared" si="5"/>
        <v>-0.33464000000000738</v>
      </c>
      <c r="F31" s="42">
        <f t="shared" si="5"/>
        <v>-1.157100000000014</v>
      </c>
      <c r="G31" s="42">
        <f t="shared" si="5"/>
        <v>-2.7179799999998977</v>
      </c>
      <c r="H31" s="42">
        <f t="shared" si="5"/>
        <v>-0.14406000000019503</v>
      </c>
      <c r="I31" s="42">
        <f t="shared" si="5"/>
        <v>-0.32230000000004111</v>
      </c>
      <c r="J31" s="42">
        <f t="shared" si="5"/>
        <v>-1.5962200000000166</v>
      </c>
      <c r="K31" s="42">
        <f t="shared" si="5"/>
        <v>-0.78859999999997399</v>
      </c>
      <c r="L31" s="42">
        <f t="shared" si="5"/>
        <v>-0.77376000000003842</v>
      </c>
      <c r="M31" s="42">
        <f t="shared" si="5"/>
        <v>0.27117999999995845</v>
      </c>
      <c r="N31" s="42">
        <f t="shared" si="5"/>
        <v>0.21140000000002601</v>
      </c>
      <c r="O31" s="42">
        <f t="shared" si="5"/>
        <v>-0.53534000000001924</v>
      </c>
      <c r="P31" s="42">
        <f t="shared" si="5"/>
        <v>-0.29511999999988348</v>
      </c>
      <c r="Q31" s="42">
        <f t="shared" si="5"/>
        <v>-0.56793999999979405</v>
      </c>
      <c r="R31" s="42">
        <f t="shared" si="5"/>
        <v>0.33096000000000458</v>
      </c>
      <c r="S31" s="42">
        <f t="shared" si="5"/>
        <v>-0.55310000000005743</v>
      </c>
      <c r="T31" s="42">
        <f t="shared" si="5"/>
        <v>-0.10164000000008855</v>
      </c>
      <c r="U31" s="42">
        <f t="shared" si="5"/>
        <v>-2.4820799999999963</v>
      </c>
      <c r="V31" s="42">
        <f t="shared" si="5"/>
        <v>0.21140000000002601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0.40381777667741403</v>
      </c>
      <c r="C32" s="42">
        <f t="shared" si="5"/>
        <v>6.8888888888892552E-2</v>
      </c>
      <c r="D32" s="42">
        <f t="shared" si="5"/>
        <v>0.12796097072802581</v>
      </c>
      <c r="E32" s="42">
        <f t="shared" si="5"/>
        <v>0.29149825783974848</v>
      </c>
      <c r="F32" s="42">
        <f t="shared" si="5"/>
        <v>0.28256410256412323</v>
      </c>
      <c r="G32" s="42">
        <f t="shared" si="5"/>
        <v>0.67763151333832639</v>
      </c>
      <c r="H32" s="42">
        <f t="shared" si="5"/>
        <v>3.5421686747014292E-2</v>
      </c>
      <c r="I32" s="42">
        <f t="shared" si="5"/>
        <v>7.6103896103916213E-2</v>
      </c>
      <c r="J32" s="42">
        <f t="shared" si="5"/>
        <v>0.38196219191195269</v>
      </c>
      <c r="K32" s="42">
        <f t="shared" si="5"/>
        <v>0.18468384074941468</v>
      </c>
      <c r="L32" s="42">
        <f t="shared" si="5"/>
        <v>0.62805194805198994</v>
      </c>
      <c r="M32" s="42">
        <f t="shared" si="5"/>
        <v>-6.3822075782525189E-2</v>
      </c>
      <c r="N32" s="42">
        <f t="shared" si="5"/>
        <v>-4.9508196721319564E-2</v>
      </c>
      <c r="O32" s="42">
        <f t="shared" si="5"/>
        <v>0.12557823129250778</v>
      </c>
      <c r="P32" s="42">
        <f t="shared" si="5"/>
        <v>6.8888888888892552E-2</v>
      </c>
      <c r="Q32" s="42">
        <f>Q30-Q26</f>
        <v>0.13107315947377174</v>
      </c>
      <c r="R32" s="42">
        <f t="shared" si="5"/>
        <v>-7.8278145695350076E-2</v>
      </c>
      <c r="S32" s="42">
        <f t="shared" si="5"/>
        <v>0.42710424710426764</v>
      </c>
      <c r="T32" s="42">
        <f t="shared" si="5"/>
        <v>2.3648208469069232E-2</v>
      </c>
      <c r="U32" s="42">
        <f t="shared" si="5"/>
        <v>0.58319548872179894</v>
      </c>
      <c r="V32" s="42">
        <f t="shared" si="5"/>
        <v>-4.9508196721319564E-2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</v>
      </c>
      <c r="C39" s="497">
        <v>94.7</v>
      </c>
      <c r="D39" s="497">
        <v>24.3</v>
      </c>
      <c r="E39" s="497">
        <v>96.2</v>
      </c>
      <c r="F39" s="497">
        <v>95.5</v>
      </c>
      <c r="G39" s="498">
        <v>96.3</v>
      </c>
      <c r="H39" s="544">
        <f t="shared" ref="H39:H46" si="6">SUM(B39:G39)</f>
        <v>500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1.5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92.8</v>
      </c>
      <c r="C40" s="497">
        <v>94.6</v>
      </c>
      <c r="D40" s="497">
        <v>24.1</v>
      </c>
      <c r="E40" s="497">
        <v>96</v>
      </c>
      <c r="F40" s="497">
        <v>95.4</v>
      </c>
      <c r="G40" s="498">
        <v>96.3</v>
      </c>
      <c r="H40" s="545">
        <f t="shared" si="6"/>
        <v>499.2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1.5</v>
      </c>
      <c r="R40" s="19">
        <v>6.8</v>
      </c>
      <c r="S40" s="19">
        <v>7.3</v>
      </c>
      <c r="T40" s="19">
        <v>7.3</v>
      </c>
      <c r="U40" s="545">
        <f t="shared" si="7"/>
        <v>36.4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92.8</v>
      </c>
      <c r="C41" s="497">
        <v>94.4</v>
      </c>
      <c r="D41" s="497">
        <v>24</v>
      </c>
      <c r="E41" s="497">
        <v>96</v>
      </c>
      <c r="F41" s="497">
        <v>95.4</v>
      </c>
      <c r="G41" s="498">
        <v>95.9</v>
      </c>
      <c r="H41" s="545">
        <f t="shared" si="6"/>
        <v>498.5</v>
      </c>
      <c r="I41" s="49"/>
      <c r="J41" s="196"/>
      <c r="K41" s="196"/>
      <c r="L41" s="196"/>
      <c r="M41" s="2"/>
      <c r="N41" s="146" t="s">
        <v>20</v>
      </c>
      <c r="O41" s="18">
        <v>6.8</v>
      </c>
      <c r="P41" s="19">
        <v>6.8</v>
      </c>
      <c r="Q41" s="19">
        <v>1.5</v>
      </c>
      <c r="R41" s="19">
        <v>6.9</v>
      </c>
      <c r="S41" s="19">
        <v>7.4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92.7</v>
      </c>
      <c r="C42" s="497">
        <v>94.4</v>
      </c>
      <c r="D42" s="497">
        <v>24</v>
      </c>
      <c r="E42" s="497">
        <v>95.9</v>
      </c>
      <c r="F42" s="497">
        <v>94.9</v>
      </c>
      <c r="G42" s="498">
        <v>95.9</v>
      </c>
      <c r="H42" s="545">
        <f t="shared" si="6"/>
        <v>497.79999999999995</v>
      </c>
      <c r="I42" s="49"/>
      <c r="J42" s="2"/>
      <c r="K42" s="2"/>
      <c r="L42" s="2"/>
      <c r="M42" s="2"/>
      <c r="N42" s="146" t="s">
        <v>28</v>
      </c>
      <c r="O42" s="18">
        <v>6.8</v>
      </c>
      <c r="P42" s="19">
        <v>6.8</v>
      </c>
      <c r="Q42" s="19">
        <v>1.5</v>
      </c>
      <c r="R42" s="19">
        <v>6.9</v>
      </c>
      <c r="S42" s="19">
        <v>7.4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91.9</v>
      </c>
      <c r="C43" s="497">
        <v>94.3</v>
      </c>
      <c r="D43" s="497">
        <v>23.8</v>
      </c>
      <c r="E43" s="497">
        <v>95.4</v>
      </c>
      <c r="F43" s="497">
        <v>93.8</v>
      </c>
      <c r="G43" s="498">
        <v>95.5</v>
      </c>
      <c r="H43" s="264">
        <f t="shared" si="6"/>
        <v>494.7</v>
      </c>
      <c r="I43" s="49"/>
      <c r="J43" s="222"/>
      <c r="K43" s="222"/>
      <c r="L43" s="222"/>
      <c r="M43" s="2"/>
      <c r="N43" s="146" t="s">
        <v>21</v>
      </c>
      <c r="O43" s="18">
        <v>6.6</v>
      </c>
      <c r="P43" s="19">
        <v>6.8</v>
      </c>
      <c r="Q43" s="19">
        <v>1.5</v>
      </c>
      <c r="R43" s="19">
        <v>6.9</v>
      </c>
      <c r="S43" s="19">
        <v>7.4</v>
      </c>
      <c r="T43" s="19">
        <v>7.3</v>
      </c>
      <c r="U43" s="545">
        <f t="shared" si="7"/>
        <v>36.499999999999993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91.6</v>
      </c>
      <c r="C44" s="497">
        <v>94</v>
      </c>
      <c r="D44" s="497">
        <v>23.6</v>
      </c>
      <c r="E44" s="497">
        <v>95.4</v>
      </c>
      <c r="F44" s="497">
        <v>93.3</v>
      </c>
      <c r="G44" s="498">
        <v>95.5</v>
      </c>
      <c r="H44" s="264">
        <f t="shared" si="6"/>
        <v>493.40000000000003</v>
      </c>
      <c r="I44" s="49"/>
      <c r="J44" s="43"/>
      <c r="K44" s="43"/>
      <c r="L44" s="43"/>
      <c r="M44" s="2"/>
      <c r="N44" s="146" t="s">
        <v>22</v>
      </c>
      <c r="O44" s="18">
        <v>6.6</v>
      </c>
      <c r="P44" s="19">
        <v>6.8</v>
      </c>
      <c r="Q44" s="19">
        <v>1.5</v>
      </c>
      <c r="R44" s="19">
        <v>6.9</v>
      </c>
      <c r="S44" s="19">
        <v>7.4</v>
      </c>
      <c r="T44" s="19">
        <v>7.3</v>
      </c>
      <c r="U44" s="264">
        <f t="shared" si="7"/>
        <v>36.499999999999993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91.4</v>
      </c>
      <c r="C45" s="497">
        <v>93.8</v>
      </c>
      <c r="D45" s="497">
        <v>23.5</v>
      </c>
      <c r="E45" s="497">
        <v>95.2</v>
      </c>
      <c r="F45" s="497">
        <v>93.2</v>
      </c>
      <c r="G45" s="498">
        <v>95.2</v>
      </c>
      <c r="H45" s="265">
        <f t="shared" si="6"/>
        <v>492.29999999999995</v>
      </c>
      <c r="I45" s="49"/>
      <c r="J45" s="41"/>
      <c r="K45" s="41"/>
      <c r="L45" s="41"/>
      <c r="M45" s="2"/>
      <c r="N45" s="146" t="s">
        <v>23</v>
      </c>
      <c r="O45" s="18">
        <v>6.6</v>
      </c>
      <c r="P45" s="19">
        <v>6.8</v>
      </c>
      <c r="Q45" s="19">
        <v>1.5</v>
      </c>
      <c r="R45" s="19">
        <v>6.9</v>
      </c>
      <c r="S45" s="19">
        <v>7.4</v>
      </c>
      <c r="T45" s="19">
        <v>7.3</v>
      </c>
      <c r="U45" s="264">
        <f t="shared" si="7"/>
        <v>36.499999999999993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646.20000000000005</v>
      </c>
      <c r="C46" s="120">
        <f t="shared" si="8"/>
        <v>660.2</v>
      </c>
      <c r="D46" s="120">
        <f t="shared" si="8"/>
        <v>167.3</v>
      </c>
      <c r="E46" s="120">
        <f t="shared" si="8"/>
        <v>670.1</v>
      </c>
      <c r="F46" s="120">
        <f t="shared" si="8"/>
        <v>661.50000000000011</v>
      </c>
      <c r="G46" s="121">
        <f t="shared" si="8"/>
        <v>670.6</v>
      </c>
      <c r="H46" s="275">
        <f t="shared" si="6"/>
        <v>3475.9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46.800000000000004</v>
      </c>
      <c r="P46" s="120">
        <f t="shared" si="9"/>
        <v>47.599999999999994</v>
      </c>
      <c r="Q46" s="120">
        <f t="shared" si="9"/>
        <v>10.5</v>
      </c>
      <c r="R46" s="120">
        <f t="shared" si="9"/>
        <v>48.099999999999994</v>
      </c>
      <c r="S46" s="120">
        <f t="shared" si="9"/>
        <v>51.599999999999994</v>
      </c>
      <c r="T46" s="120">
        <f t="shared" si="9"/>
        <v>51.099999999999994</v>
      </c>
      <c r="U46" s="326">
        <f>SUM(O46:T46)</f>
        <v>255.7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160.07644837432073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151</v>
      </c>
      <c r="R47" s="24">
        <v>149</v>
      </c>
      <c r="S47" s="24">
        <v>150.5</v>
      </c>
      <c r="T47" s="24">
        <v>152</v>
      </c>
      <c r="U47" s="234">
        <f>+((U46/U48)/7)*1000</f>
        <v>149.70725995316155</v>
      </c>
      <c r="V47" s="50"/>
    </row>
    <row r="48" spans="1:31" ht="33.75" customHeight="1" x14ac:dyDescent="0.25">
      <c r="A48" s="149" t="s">
        <v>12</v>
      </c>
      <c r="B48" s="26">
        <v>576</v>
      </c>
      <c r="C48" s="27">
        <v>591</v>
      </c>
      <c r="D48" s="27">
        <v>148</v>
      </c>
      <c r="E48" s="27">
        <v>600</v>
      </c>
      <c r="F48" s="27">
        <v>587</v>
      </c>
      <c r="G48" s="28">
        <v>600</v>
      </c>
      <c r="H48" s="129">
        <f>SUM(B48:G48)</f>
        <v>3102</v>
      </c>
      <c r="I48" s="41"/>
      <c r="J48" s="41"/>
      <c r="K48" s="41"/>
      <c r="L48" s="49"/>
      <c r="M48" s="51"/>
      <c r="N48" s="149" t="s">
        <v>12</v>
      </c>
      <c r="O48" s="241">
        <v>45</v>
      </c>
      <c r="P48" s="278">
        <v>46</v>
      </c>
      <c r="Q48" s="278">
        <v>10</v>
      </c>
      <c r="R48" s="278">
        <v>46</v>
      </c>
      <c r="S48" s="278">
        <v>49</v>
      </c>
      <c r="T48" s="278">
        <v>48</v>
      </c>
      <c r="U48" s="235">
        <f>SUM(O48:T48)</f>
        <v>244</v>
      </c>
      <c r="V48" s="52"/>
    </row>
    <row r="49" spans="1:30" ht="33.75" customHeight="1" x14ac:dyDescent="0.25">
      <c r="A49" s="150" t="s">
        <v>13</v>
      </c>
      <c r="B49" s="30">
        <f>(B48*B47)/1000</f>
        <v>91.411199999999994</v>
      </c>
      <c r="C49" s="31">
        <f t="shared" ref="C49:G49" si="10">(C48*C47)/1000</f>
        <v>93.791699999999992</v>
      </c>
      <c r="D49" s="31">
        <f t="shared" si="10"/>
        <v>23.487599999999997</v>
      </c>
      <c r="E49" s="31">
        <f t="shared" si="10"/>
        <v>95.22</v>
      </c>
      <c r="F49" s="31">
        <f t="shared" si="10"/>
        <v>93.156899999999993</v>
      </c>
      <c r="G49" s="32">
        <f t="shared" si="10"/>
        <v>95.22</v>
      </c>
      <c r="H49" s="130">
        <f>((H46*1000)/H48)/7</f>
        <v>160.07644837432073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6.5810000000000004</v>
      </c>
      <c r="P49" s="31">
        <f t="shared" si="11"/>
        <v>6.8433999999999999</v>
      </c>
      <c r="Q49" s="31">
        <f t="shared" si="11"/>
        <v>1.514</v>
      </c>
      <c r="R49" s="31">
        <f t="shared" si="11"/>
        <v>6.8756000000000004</v>
      </c>
      <c r="S49" s="31">
        <f t="shared" si="11"/>
        <v>7.4042999999999992</v>
      </c>
      <c r="T49" s="31">
        <f t="shared" si="11"/>
        <v>7.2944000000000004</v>
      </c>
      <c r="U49" s="253">
        <f>((U46*1000)/U48)/7</f>
        <v>149.70725995316158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639.87840000000006</v>
      </c>
      <c r="C50" s="282">
        <f t="shared" si="12"/>
        <v>656.54190000000006</v>
      </c>
      <c r="D50" s="282">
        <f t="shared" si="12"/>
        <v>164.41319999999999</v>
      </c>
      <c r="E50" s="282">
        <f t="shared" si="12"/>
        <v>666.54</v>
      </c>
      <c r="F50" s="282">
        <f t="shared" si="12"/>
        <v>652.09829999999988</v>
      </c>
      <c r="G50" s="284">
        <f t="shared" si="12"/>
        <v>666.54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46.305</v>
      </c>
      <c r="P50" s="282">
        <f t="shared" si="13"/>
        <v>47.817</v>
      </c>
      <c r="Q50" s="282">
        <f t="shared" si="13"/>
        <v>10.57</v>
      </c>
      <c r="R50" s="282">
        <f t="shared" si="13"/>
        <v>47.978000000000002</v>
      </c>
      <c r="S50" s="282">
        <f t="shared" si="13"/>
        <v>51.621499999999997</v>
      </c>
      <c r="T50" s="282">
        <f t="shared" si="13"/>
        <v>51.072000000000003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160.26785714285717</v>
      </c>
      <c r="C51" s="38">
        <f t="shared" si="14"/>
        <v>159.58423978728547</v>
      </c>
      <c r="D51" s="38">
        <f t="shared" si="14"/>
        <v>161.48648648648651</v>
      </c>
      <c r="E51" s="38">
        <f t="shared" si="14"/>
        <v>159.54761904761904</v>
      </c>
      <c r="F51" s="38">
        <f t="shared" si="14"/>
        <v>160.98807495741062</v>
      </c>
      <c r="G51" s="39">
        <f t="shared" si="14"/>
        <v>159.66666666666669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148.57142857142858</v>
      </c>
      <c r="P51" s="38">
        <f t="shared" si="15"/>
        <v>147.82608695652172</v>
      </c>
      <c r="Q51" s="38">
        <f t="shared" si="15"/>
        <v>150</v>
      </c>
      <c r="R51" s="38">
        <f t="shared" si="15"/>
        <v>149.37888198757761</v>
      </c>
      <c r="S51" s="38">
        <f t="shared" si="15"/>
        <v>150.43731778425655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-6.3215999999999894</v>
      </c>
      <c r="C52" s="42">
        <f t="shared" ref="C52:G53" si="16">C50-C46</f>
        <v>-3.6580999999999904</v>
      </c>
      <c r="D52" s="42">
        <f t="shared" si="16"/>
        <v>-2.8868000000000222</v>
      </c>
      <c r="E52" s="42">
        <f t="shared" si="16"/>
        <v>-3.5600000000000591</v>
      </c>
      <c r="F52" s="42">
        <f t="shared" si="16"/>
        <v>-9.4017000000002326</v>
      </c>
      <c r="G52" s="42">
        <f t="shared" si="16"/>
        <v>-4.0600000000000591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-0.49500000000000455</v>
      </c>
      <c r="P52" s="42">
        <f t="shared" si="17"/>
        <v>0.21700000000000585</v>
      </c>
      <c r="Q52" s="42">
        <f t="shared" si="17"/>
        <v>7.0000000000000284E-2</v>
      </c>
      <c r="R52" s="42">
        <f t="shared" si="17"/>
        <v>-0.12199999999999278</v>
      </c>
      <c r="S52" s="42">
        <f t="shared" si="17"/>
        <v>2.1500000000003183E-2</v>
      </c>
      <c r="T52" s="42">
        <f t="shared" si="17"/>
        <v>-2.7999999999991587E-2</v>
      </c>
    </row>
    <row r="53" spans="1:30" ht="33.75" customHeight="1" x14ac:dyDescent="0.25">
      <c r="A53" s="41"/>
      <c r="B53" s="42">
        <f>B51-B47</f>
        <v>1.5678571428571786</v>
      </c>
      <c r="C53" s="42">
        <f t="shared" si="16"/>
        <v>0.88423978728548036</v>
      </c>
      <c r="D53" s="42">
        <f t="shared" si="16"/>
        <v>2.786486486486524</v>
      </c>
      <c r="E53" s="42">
        <f t="shared" si="16"/>
        <v>0.84761904761904816</v>
      </c>
      <c r="F53" s="42">
        <f t="shared" si="16"/>
        <v>2.2880749574106289</v>
      </c>
      <c r="G53" s="42">
        <f t="shared" si="16"/>
        <v>0.96666666666669698</v>
      </c>
      <c r="I53" s="2"/>
      <c r="J53" s="2"/>
      <c r="K53" s="45"/>
      <c r="L53" s="41"/>
      <c r="M53" s="42"/>
      <c r="N53" s="42"/>
      <c r="O53" s="42">
        <f t="shared" si="17"/>
        <v>1.5714285714285836</v>
      </c>
      <c r="P53" s="42">
        <f t="shared" si="17"/>
        <v>-0.67391304347827941</v>
      </c>
      <c r="Q53" s="42">
        <f t="shared" si="17"/>
        <v>-1</v>
      </c>
      <c r="R53" s="42">
        <f t="shared" si="17"/>
        <v>0.37888198757761415</v>
      </c>
      <c r="S53" s="42">
        <f t="shared" si="17"/>
        <v>-6.2682215743450342E-2</v>
      </c>
      <c r="T53" s="42">
        <f t="shared" si="17"/>
        <v>8.3333333333314386E-2</v>
      </c>
      <c r="W53" s="3"/>
    </row>
    <row r="54" spans="1:30" ht="33.75" customHeight="1" x14ac:dyDescent="0.25">
      <c r="A54" s="41"/>
      <c r="B54" s="1061"/>
      <c r="C54" s="1061"/>
      <c r="D54" s="106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2.1</v>
      </c>
      <c r="F60" s="19">
        <v>7.9</v>
      </c>
      <c r="G60" s="19">
        <v>7.9</v>
      </c>
      <c r="H60" s="104">
        <v>7.9</v>
      </c>
      <c r="I60" s="18">
        <v>8.1</v>
      </c>
      <c r="J60" s="19">
        <v>7.8</v>
      </c>
      <c r="K60" s="19">
        <v>8.4</v>
      </c>
      <c r="L60" s="267">
        <v>2</v>
      </c>
      <c r="M60" s="267">
        <v>7.9</v>
      </c>
      <c r="N60" s="19">
        <v>7.9</v>
      </c>
      <c r="O60" s="474">
        <v>8.1999999999999993</v>
      </c>
      <c r="P60" s="281">
        <v>8.1999999999999993</v>
      </c>
      <c r="Q60" s="282">
        <v>8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149.60000000000002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2.1</v>
      </c>
      <c r="F61" s="19">
        <v>7.9</v>
      </c>
      <c r="G61" s="19">
        <v>7.9</v>
      </c>
      <c r="H61" s="104">
        <v>7.9</v>
      </c>
      <c r="I61" s="18">
        <v>8.1</v>
      </c>
      <c r="J61" s="19">
        <v>7.8</v>
      </c>
      <c r="K61" s="19">
        <v>8.4</v>
      </c>
      <c r="L61" s="267">
        <v>2</v>
      </c>
      <c r="M61" s="267">
        <v>7.9</v>
      </c>
      <c r="N61" s="19">
        <v>7.9</v>
      </c>
      <c r="O61" s="474">
        <v>8.1999999999999993</v>
      </c>
      <c r="P61" s="281">
        <v>8.1999999999999993</v>
      </c>
      <c r="Q61" s="282">
        <v>8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149.60000000000002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7.8</v>
      </c>
      <c r="C62" s="19">
        <v>7.7</v>
      </c>
      <c r="D62" s="19">
        <v>7.9</v>
      </c>
      <c r="E62" s="19">
        <v>2.2000000000000002</v>
      </c>
      <c r="F62" s="19">
        <v>7.9</v>
      </c>
      <c r="G62" s="19">
        <v>7.9</v>
      </c>
      <c r="H62" s="104">
        <v>7.9</v>
      </c>
      <c r="I62" s="18">
        <v>8.1999999999999993</v>
      </c>
      <c r="J62" s="19">
        <v>8</v>
      </c>
      <c r="K62" s="19">
        <v>8.3000000000000007</v>
      </c>
      <c r="L62" s="267">
        <v>1.8</v>
      </c>
      <c r="M62" s="267">
        <v>8.1</v>
      </c>
      <c r="N62" s="19">
        <v>8</v>
      </c>
      <c r="O62" s="474">
        <v>8.1999999999999993</v>
      </c>
      <c r="P62" s="281">
        <v>8.1</v>
      </c>
      <c r="Q62" s="282">
        <v>8.1</v>
      </c>
      <c r="R62" s="282">
        <v>7.8</v>
      </c>
      <c r="S62" s="282">
        <v>2</v>
      </c>
      <c r="T62" s="282">
        <v>8</v>
      </c>
      <c r="U62" s="282">
        <v>8.1</v>
      </c>
      <c r="V62" s="283">
        <v>7.8</v>
      </c>
      <c r="W62" s="545">
        <f t="shared" si="18"/>
        <v>149.79999999999998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7.8</v>
      </c>
      <c r="C63" s="19">
        <v>7.7</v>
      </c>
      <c r="D63" s="19">
        <v>7.9</v>
      </c>
      <c r="E63" s="19">
        <v>2.2000000000000002</v>
      </c>
      <c r="F63" s="19">
        <v>7.9</v>
      </c>
      <c r="G63" s="19">
        <v>7.7</v>
      </c>
      <c r="H63" s="104">
        <v>7.9</v>
      </c>
      <c r="I63" s="18">
        <v>8.1999999999999993</v>
      </c>
      <c r="J63" s="19">
        <v>8</v>
      </c>
      <c r="K63" s="19">
        <v>8.3000000000000007</v>
      </c>
      <c r="L63" s="267">
        <v>1.8</v>
      </c>
      <c r="M63" s="267">
        <v>8.1</v>
      </c>
      <c r="N63" s="19">
        <v>8</v>
      </c>
      <c r="O63" s="474">
        <v>8.1999999999999993</v>
      </c>
      <c r="P63" s="281">
        <v>8.1</v>
      </c>
      <c r="Q63" s="282">
        <v>8.1</v>
      </c>
      <c r="R63" s="282">
        <v>7.8</v>
      </c>
      <c r="S63" s="282">
        <v>2</v>
      </c>
      <c r="T63" s="282">
        <v>8</v>
      </c>
      <c r="U63" s="282">
        <v>8.1</v>
      </c>
      <c r="V63" s="283">
        <v>7.8</v>
      </c>
      <c r="W63" s="545">
        <f t="shared" si="18"/>
        <v>149.6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7.8</v>
      </c>
      <c r="C64" s="19">
        <v>7.7</v>
      </c>
      <c r="D64" s="19">
        <v>7.9</v>
      </c>
      <c r="E64" s="19">
        <v>2.2000000000000002</v>
      </c>
      <c r="F64" s="19">
        <v>7.9</v>
      </c>
      <c r="G64" s="19">
        <v>7.7</v>
      </c>
      <c r="H64" s="104">
        <v>7.9</v>
      </c>
      <c r="I64" s="18">
        <v>8.1999999999999993</v>
      </c>
      <c r="J64" s="19">
        <v>7.8</v>
      </c>
      <c r="K64" s="19">
        <v>8.3000000000000007</v>
      </c>
      <c r="L64" s="267">
        <v>1.8</v>
      </c>
      <c r="M64" s="267">
        <v>8.1</v>
      </c>
      <c r="N64" s="19">
        <v>8</v>
      </c>
      <c r="O64" s="474">
        <v>8.1999999999999993</v>
      </c>
      <c r="P64" s="281">
        <v>8.1</v>
      </c>
      <c r="Q64" s="282">
        <v>8.1</v>
      </c>
      <c r="R64" s="282">
        <v>7.8</v>
      </c>
      <c r="S64" s="282">
        <v>2</v>
      </c>
      <c r="T64" s="282">
        <v>8</v>
      </c>
      <c r="U64" s="282">
        <v>8.1</v>
      </c>
      <c r="V64" s="283">
        <v>7.8</v>
      </c>
      <c r="W64" s="264">
        <f t="shared" si="18"/>
        <v>149.39999999999998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7.8</v>
      </c>
      <c r="C65" s="19">
        <v>7.7</v>
      </c>
      <c r="D65" s="19">
        <v>7.9</v>
      </c>
      <c r="E65" s="19">
        <v>2.2000000000000002</v>
      </c>
      <c r="F65" s="19">
        <v>7.9</v>
      </c>
      <c r="G65" s="19">
        <v>7.7</v>
      </c>
      <c r="H65" s="104">
        <v>7.9</v>
      </c>
      <c r="I65" s="18">
        <v>8.1999999999999993</v>
      </c>
      <c r="J65" s="19">
        <v>7.8</v>
      </c>
      <c r="K65" s="19">
        <v>8.1</v>
      </c>
      <c r="L65" s="267">
        <v>1.8</v>
      </c>
      <c r="M65" s="267">
        <v>8.1</v>
      </c>
      <c r="N65" s="19">
        <v>8</v>
      </c>
      <c r="O65" s="474">
        <v>8.1999999999999993</v>
      </c>
      <c r="P65" s="281">
        <v>8.1</v>
      </c>
      <c r="Q65" s="282">
        <v>8.1</v>
      </c>
      <c r="R65" s="282">
        <v>7.8</v>
      </c>
      <c r="S65" s="282">
        <v>2</v>
      </c>
      <c r="T65" s="282">
        <v>8</v>
      </c>
      <c r="U65" s="282">
        <v>8.1</v>
      </c>
      <c r="V65" s="283">
        <v>7.8</v>
      </c>
      <c r="W65" s="264">
        <f t="shared" si="18"/>
        <v>149.19999999999996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7.8</v>
      </c>
      <c r="C66" s="19">
        <v>7.7</v>
      </c>
      <c r="D66" s="19">
        <v>7.9</v>
      </c>
      <c r="E66" s="19">
        <v>2.2000000000000002</v>
      </c>
      <c r="F66" s="19">
        <v>7.9</v>
      </c>
      <c r="G66" s="19">
        <v>7.7</v>
      </c>
      <c r="H66" s="104">
        <v>7.9</v>
      </c>
      <c r="I66" s="18">
        <v>8.1999999999999993</v>
      </c>
      <c r="J66" s="19">
        <v>7.5</v>
      </c>
      <c r="K66" s="19">
        <v>8.1</v>
      </c>
      <c r="L66" s="267">
        <v>1.8</v>
      </c>
      <c r="M66" s="267">
        <v>8.1</v>
      </c>
      <c r="N66" s="19">
        <v>8</v>
      </c>
      <c r="O66" s="474">
        <v>8.1</v>
      </c>
      <c r="P66" s="281">
        <v>8.1</v>
      </c>
      <c r="Q66" s="282">
        <v>8.1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265">
        <f t="shared" si="18"/>
        <v>148.79999999999998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54.8</v>
      </c>
      <c r="C67" s="120">
        <f>SUM(C60:C66)</f>
        <v>54.100000000000009</v>
      </c>
      <c r="D67" s="120">
        <f t="shared" ref="D67:V67" si="19">SUM(D60:D66)</f>
        <v>55.3</v>
      </c>
      <c r="E67" s="120">
        <f t="shared" si="19"/>
        <v>15.2</v>
      </c>
      <c r="F67" s="120">
        <f t="shared" si="19"/>
        <v>55.3</v>
      </c>
      <c r="G67" s="120">
        <f t="shared" si="19"/>
        <v>54.500000000000007</v>
      </c>
      <c r="H67" s="268">
        <f t="shared" si="19"/>
        <v>55.3</v>
      </c>
      <c r="I67" s="122">
        <f t="shared" si="19"/>
        <v>57.2</v>
      </c>
      <c r="J67" s="120">
        <f t="shared" si="19"/>
        <v>54.699999999999996</v>
      </c>
      <c r="K67" s="120">
        <f t="shared" si="19"/>
        <v>57.900000000000006</v>
      </c>
      <c r="L67" s="120">
        <f t="shared" si="19"/>
        <v>13.000000000000002</v>
      </c>
      <c r="M67" s="120">
        <f t="shared" si="19"/>
        <v>56.300000000000004</v>
      </c>
      <c r="N67" s="120">
        <f t="shared" si="19"/>
        <v>55.8</v>
      </c>
      <c r="O67" s="121">
        <f t="shared" si="19"/>
        <v>57.300000000000004</v>
      </c>
      <c r="P67" s="122">
        <f t="shared" si="19"/>
        <v>56.900000000000006</v>
      </c>
      <c r="Q67" s="120">
        <f t="shared" si="19"/>
        <v>56.500000000000007</v>
      </c>
      <c r="R67" s="120">
        <f t="shared" si="19"/>
        <v>54.399999999999991</v>
      </c>
      <c r="S67" s="120">
        <f t="shared" si="19"/>
        <v>14</v>
      </c>
      <c r="T67" s="120">
        <f t="shared" si="19"/>
        <v>56</v>
      </c>
      <c r="U67" s="120">
        <f t="shared" si="19"/>
        <v>56.900000000000006</v>
      </c>
      <c r="V67" s="121">
        <f t="shared" si="19"/>
        <v>54.599999999999994</v>
      </c>
      <c r="W67" s="263">
        <f>SUM(W60:W66)</f>
        <v>1046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155</v>
      </c>
      <c r="F68" s="24">
        <v>154.5</v>
      </c>
      <c r="G68" s="24">
        <v>155.5</v>
      </c>
      <c r="H68" s="155">
        <v>155.5</v>
      </c>
      <c r="I68" s="23">
        <v>154.5</v>
      </c>
      <c r="J68" s="24">
        <v>155.5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154.8482605477424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50</v>
      </c>
      <c r="H69" s="156">
        <v>51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52</v>
      </c>
      <c r="O69" s="28">
        <v>53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965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2.1979999999999995</v>
      </c>
      <c r="F70" s="31">
        <f t="shared" si="20"/>
        <v>7.8712999999999997</v>
      </c>
      <c r="G70" s="31">
        <f t="shared" si="20"/>
        <v>7.7249999999999996</v>
      </c>
      <c r="H70" s="464">
        <f t="shared" si="20"/>
        <v>7.9426999999999994</v>
      </c>
      <c r="I70" s="358">
        <f t="shared" si="20"/>
        <v>8.2239000000000004</v>
      </c>
      <c r="J70" s="31">
        <f t="shared" si="20"/>
        <v>7.5472999999999999</v>
      </c>
      <c r="K70" s="31">
        <f t="shared" si="20"/>
        <v>8.0668000000000006</v>
      </c>
      <c r="L70" s="31">
        <f t="shared" si="20"/>
        <v>1.8039999999999998</v>
      </c>
      <c r="M70" s="31">
        <f t="shared" si="20"/>
        <v>8.0511999999999997</v>
      </c>
      <c r="N70" s="31">
        <f t="shared" si="20"/>
        <v>8.0147999999999993</v>
      </c>
      <c r="O70" s="322">
        <f t="shared" si="20"/>
        <v>8.0725999999999996</v>
      </c>
      <c r="P70" s="30">
        <f t="shared" si="20"/>
        <v>8.1132000000000009</v>
      </c>
      <c r="Q70" s="31">
        <f t="shared" si="20"/>
        <v>8.1204000000000001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154.8482605477424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15.19</v>
      </c>
      <c r="F71" s="282">
        <f t="shared" si="21"/>
        <v>55.156500000000001</v>
      </c>
      <c r="G71" s="282">
        <f t="shared" si="21"/>
        <v>54.424999999999997</v>
      </c>
      <c r="H71" s="283">
        <f t="shared" si="21"/>
        <v>55.513500000000001</v>
      </c>
      <c r="I71" s="281">
        <f t="shared" si="21"/>
        <v>57.319499999999998</v>
      </c>
      <c r="J71" s="282">
        <f t="shared" si="21"/>
        <v>53.336500000000001</v>
      </c>
      <c r="K71" s="282">
        <f t="shared" si="21"/>
        <v>57.134</v>
      </c>
      <c r="L71" s="282">
        <f t="shared" si="21"/>
        <v>13.02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56.762999999999998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153.50140056022408</v>
      </c>
      <c r="C72" s="38">
        <f t="shared" ref="C72:V72" si="22">+(C67/C69)/7*1000</f>
        <v>154.57142857142858</v>
      </c>
      <c r="D72" s="38">
        <f t="shared" si="22"/>
        <v>154.9019607843137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155.71428571428572</v>
      </c>
      <c r="H72" s="158">
        <f t="shared" si="22"/>
        <v>154.9019607843137</v>
      </c>
      <c r="I72" s="37">
        <f t="shared" si="22"/>
        <v>154.17789757412399</v>
      </c>
      <c r="J72" s="38">
        <f t="shared" si="22"/>
        <v>159.47521865889212</v>
      </c>
      <c r="K72" s="38">
        <f t="shared" si="22"/>
        <v>156.0646900269542</v>
      </c>
      <c r="L72" s="38">
        <f t="shared" si="22"/>
        <v>154.76190476190479</v>
      </c>
      <c r="M72" s="38">
        <f t="shared" si="22"/>
        <v>154.67032967032969</v>
      </c>
      <c r="N72" s="38">
        <f t="shared" si="22"/>
        <v>153.29670329670327</v>
      </c>
      <c r="O72" s="39">
        <f t="shared" si="22"/>
        <v>154.44743935309972</v>
      </c>
      <c r="P72" s="37">
        <f t="shared" si="22"/>
        <v>156.31868131868134</v>
      </c>
      <c r="Q72" s="38">
        <f t="shared" si="22"/>
        <v>155.21978021978026</v>
      </c>
      <c r="R72" s="38">
        <f t="shared" si="22"/>
        <v>155.42857142857142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153.36927223719678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0.17800000000000438</v>
      </c>
      <c r="C73" s="42">
        <f t="shared" ref="C73:V74" si="23">C71-C67</f>
        <v>-2.5000000000005684E-2</v>
      </c>
      <c r="D73" s="42">
        <f t="shared" si="23"/>
        <v>-0.14349999999999596</v>
      </c>
      <c r="E73" s="42">
        <f t="shared" si="23"/>
        <v>-9.9999999999997868E-3</v>
      </c>
      <c r="F73" s="42">
        <f t="shared" si="23"/>
        <v>-0.14349999999999596</v>
      </c>
      <c r="G73" s="42">
        <f t="shared" si="23"/>
        <v>-7.5000000000009948E-2</v>
      </c>
      <c r="H73" s="42">
        <f t="shared" si="23"/>
        <v>0.21350000000000335</v>
      </c>
      <c r="I73" s="42">
        <f t="shared" si="23"/>
        <v>0.11949999999999505</v>
      </c>
      <c r="J73" s="42">
        <f t="shared" si="23"/>
        <v>-1.3634999999999948</v>
      </c>
      <c r="K73" s="42">
        <f t="shared" si="23"/>
        <v>-0.76600000000000534</v>
      </c>
      <c r="L73" s="42">
        <f t="shared" si="23"/>
        <v>1.9999999999997797E-2</v>
      </c>
      <c r="M73" s="42">
        <f t="shared" si="23"/>
        <v>-0.24400000000000688</v>
      </c>
      <c r="N73" s="42">
        <f t="shared" si="23"/>
        <v>7.4000000000005173E-2</v>
      </c>
      <c r="O73" s="42">
        <f t="shared" si="23"/>
        <v>-0.53700000000000614</v>
      </c>
      <c r="P73" s="42">
        <f t="shared" si="23"/>
        <v>6.5999999999995396E-2</v>
      </c>
      <c r="Q73" s="42">
        <f t="shared" si="23"/>
        <v>0.10199999999998965</v>
      </c>
      <c r="R73" s="42">
        <f t="shared" si="23"/>
        <v>2.5000000000005684E-2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0.23399999999999466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-0.4985994397759157</v>
      </c>
      <c r="C74" s="42">
        <f t="shared" si="23"/>
        <v>7.1428571428583609E-2</v>
      </c>
      <c r="D74" s="42">
        <f t="shared" si="23"/>
        <v>0.40196078431370097</v>
      </c>
      <c r="E74" s="42">
        <f t="shared" si="23"/>
        <v>0.10204081632653583</v>
      </c>
      <c r="F74" s="42">
        <f t="shared" si="23"/>
        <v>0.40196078431370097</v>
      </c>
      <c r="G74" s="42">
        <f t="shared" si="23"/>
        <v>0.21428571428572241</v>
      </c>
      <c r="H74" s="42">
        <f t="shared" si="23"/>
        <v>-0.59803921568629903</v>
      </c>
      <c r="I74" s="42">
        <f t="shared" si="23"/>
        <v>-0.32210242587601101</v>
      </c>
      <c r="J74" s="42">
        <f t="shared" si="23"/>
        <v>3.9752186588921177</v>
      </c>
      <c r="K74" s="42">
        <f t="shared" si="23"/>
        <v>2.0646900269541959</v>
      </c>
      <c r="L74" s="42">
        <f t="shared" si="23"/>
        <v>-0.23809523809521238</v>
      </c>
      <c r="M74" s="42">
        <f t="shared" si="23"/>
        <v>0.67032967032969282</v>
      </c>
      <c r="N74" s="42">
        <f t="shared" si="23"/>
        <v>-0.20329670329672922</v>
      </c>
      <c r="O74" s="42">
        <f t="shared" si="23"/>
        <v>1.4474393530997247</v>
      </c>
      <c r="P74" s="42">
        <f t="shared" si="23"/>
        <v>-0.18131868131865758</v>
      </c>
      <c r="Q74" s="42">
        <f>Q72-Q68</f>
        <v>-0.28021978021973837</v>
      </c>
      <c r="R74" s="42">
        <f t="shared" si="23"/>
        <v>-7.1428571428583609E-2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-0.63072776280321818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51"/>
  <dimension ref="A1:AE244"/>
  <sheetViews>
    <sheetView topLeftCell="A29" zoomScale="30" zoomScaleNormal="30" workbookViewId="0">
      <selection activeCell="O41" sqref="O41:T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35</v>
      </c>
      <c r="Q11" s="1022"/>
      <c r="R11" s="6"/>
      <c r="S11" s="1" t="s">
        <v>6</v>
      </c>
      <c r="T11" s="95">
        <v>45621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94.5</v>
      </c>
      <c r="C18" s="497">
        <v>94.4</v>
      </c>
      <c r="D18" s="497">
        <v>93.5</v>
      </c>
      <c r="E18" s="497">
        <v>26.9</v>
      </c>
      <c r="F18" s="497">
        <v>96</v>
      </c>
      <c r="G18" s="497">
        <v>93.7</v>
      </c>
      <c r="H18" s="498">
        <v>95.2</v>
      </c>
      <c r="I18" s="126">
        <v>99.1</v>
      </c>
      <c r="J18" s="497">
        <v>97.8</v>
      </c>
      <c r="K18" s="497">
        <v>99.9</v>
      </c>
      <c r="L18" s="497">
        <v>28.8</v>
      </c>
      <c r="M18" s="497">
        <v>99.4</v>
      </c>
      <c r="N18" s="497">
        <v>99.9</v>
      </c>
      <c r="O18" s="497">
        <v>99.8</v>
      </c>
      <c r="P18" s="133">
        <v>100.3</v>
      </c>
      <c r="Q18" s="497">
        <v>101.4</v>
      </c>
      <c r="R18" s="497">
        <v>98.9</v>
      </c>
      <c r="S18" s="497">
        <v>30.1</v>
      </c>
      <c r="T18" s="497">
        <v>100.4</v>
      </c>
      <c r="U18" s="497">
        <v>99.6</v>
      </c>
      <c r="V18" s="498">
        <v>99.9</v>
      </c>
      <c r="W18" s="98">
        <f t="shared" ref="W18:W24" si="0">SUM(B18:V18)</f>
        <v>1849.5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94.2</v>
      </c>
      <c r="C19" s="486">
        <v>94.1</v>
      </c>
      <c r="D19" s="486">
        <v>93.2</v>
      </c>
      <c r="E19" s="486">
        <v>26.6</v>
      </c>
      <c r="F19" s="486">
        <v>95.5</v>
      </c>
      <c r="G19" s="486">
        <v>93.2</v>
      </c>
      <c r="H19" s="499">
        <v>94.9</v>
      </c>
      <c r="I19" s="456">
        <v>98.8</v>
      </c>
      <c r="J19" s="486">
        <v>97.5</v>
      </c>
      <c r="K19" s="486">
        <v>99.6</v>
      </c>
      <c r="L19" s="486">
        <v>28.7</v>
      </c>
      <c r="M19" s="486">
        <v>99.1</v>
      </c>
      <c r="N19" s="486">
        <v>99.6</v>
      </c>
      <c r="O19" s="486">
        <v>99.3</v>
      </c>
      <c r="P19" s="485">
        <v>99.9</v>
      </c>
      <c r="Q19" s="486">
        <v>101.1</v>
      </c>
      <c r="R19" s="486">
        <v>98.6</v>
      </c>
      <c r="S19" s="486">
        <v>29.9</v>
      </c>
      <c r="T19" s="486">
        <v>100.1</v>
      </c>
      <c r="U19" s="486">
        <v>99.3</v>
      </c>
      <c r="V19" s="499">
        <v>99.4</v>
      </c>
      <c r="W19" s="98">
        <f>SUM(B19:V19)</f>
        <v>1842.6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94.2</v>
      </c>
      <c r="C20" s="486">
        <v>94.1</v>
      </c>
      <c r="D20" s="486">
        <v>93.2</v>
      </c>
      <c r="E20" s="486">
        <v>26.6</v>
      </c>
      <c r="F20" s="486">
        <v>95.5</v>
      </c>
      <c r="G20" s="486">
        <v>93.2</v>
      </c>
      <c r="H20" s="499">
        <v>94.9</v>
      </c>
      <c r="I20" s="456">
        <v>98.8</v>
      </c>
      <c r="J20" s="486">
        <v>97.5</v>
      </c>
      <c r="K20" s="486">
        <v>99.6</v>
      </c>
      <c r="L20" s="486">
        <v>28.7</v>
      </c>
      <c r="M20" s="486">
        <v>99.1</v>
      </c>
      <c r="N20" s="486">
        <v>99.6</v>
      </c>
      <c r="O20" s="486">
        <v>99.3</v>
      </c>
      <c r="P20" s="485">
        <v>99.9</v>
      </c>
      <c r="Q20" s="486">
        <v>101.1</v>
      </c>
      <c r="R20" s="486">
        <v>98.6</v>
      </c>
      <c r="S20" s="486">
        <v>29.9</v>
      </c>
      <c r="T20" s="486">
        <v>100.1</v>
      </c>
      <c r="U20" s="486">
        <v>99.3</v>
      </c>
      <c r="V20" s="499">
        <v>99.4</v>
      </c>
      <c r="W20" s="98">
        <f t="shared" si="0"/>
        <v>1842.6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94.2</v>
      </c>
      <c r="C21" s="486">
        <v>94.1</v>
      </c>
      <c r="D21" s="486">
        <v>93.2</v>
      </c>
      <c r="E21" s="486">
        <v>26.6</v>
      </c>
      <c r="F21" s="486">
        <v>95.5</v>
      </c>
      <c r="G21" s="486">
        <v>93.2</v>
      </c>
      <c r="H21" s="499">
        <v>94.9</v>
      </c>
      <c r="I21" s="456">
        <v>98.8</v>
      </c>
      <c r="J21" s="486">
        <v>97.5</v>
      </c>
      <c r="K21" s="486">
        <v>99.6</v>
      </c>
      <c r="L21" s="486">
        <v>28.7</v>
      </c>
      <c r="M21" s="486">
        <v>99.1</v>
      </c>
      <c r="N21" s="486">
        <v>99.6</v>
      </c>
      <c r="O21" s="486">
        <v>99.3</v>
      </c>
      <c r="P21" s="485">
        <v>99.9</v>
      </c>
      <c r="Q21" s="486">
        <v>101.1</v>
      </c>
      <c r="R21" s="486">
        <v>98.6</v>
      </c>
      <c r="S21" s="486">
        <v>29.9</v>
      </c>
      <c r="T21" s="486">
        <v>100.1</v>
      </c>
      <c r="U21" s="486">
        <v>99.3</v>
      </c>
      <c r="V21" s="499">
        <v>99.4</v>
      </c>
      <c r="W21" s="98">
        <f t="shared" si="0"/>
        <v>1842.6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93.7</v>
      </c>
      <c r="C22" s="497">
        <v>93.9</v>
      </c>
      <c r="D22" s="497">
        <v>93.2</v>
      </c>
      <c r="E22" s="497">
        <v>25.4</v>
      </c>
      <c r="F22" s="497">
        <v>94.3</v>
      </c>
      <c r="G22" s="497">
        <v>93.1</v>
      </c>
      <c r="H22" s="498">
        <v>94.8</v>
      </c>
      <c r="I22" s="126">
        <v>98.4</v>
      </c>
      <c r="J22" s="497">
        <v>97.4</v>
      </c>
      <c r="K22" s="497">
        <v>99.2</v>
      </c>
      <c r="L22" s="497">
        <v>28.7</v>
      </c>
      <c r="M22" s="497">
        <v>98.8</v>
      </c>
      <c r="N22" s="497">
        <v>99.5</v>
      </c>
      <c r="O22" s="497">
        <v>99.1</v>
      </c>
      <c r="P22" s="133">
        <v>98.7</v>
      </c>
      <c r="Q22" s="497">
        <v>100.9</v>
      </c>
      <c r="R22" s="497">
        <v>98.6</v>
      </c>
      <c r="S22" s="497">
        <v>28</v>
      </c>
      <c r="T22" s="497">
        <v>100</v>
      </c>
      <c r="U22" s="497">
        <v>99.1</v>
      </c>
      <c r="V22" s="498">
        <v>99.3</v>
      </c>
      <c r="W22" s="98">
        <f t="shared" si="0"/>
        <v>1834.1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93.8</v>
      </c>
      <c r="C23" s="497">
        <v>93.9</v>
      </c>
      <c r="D23" s="497">
        <v>93.2</v>
      </c>
      <c r="E23" s="497">
        <v>25.9</v>
      </c>
      <c r="F23" s="497">
        <v>94.2</v>
      </c>
      <c r="G23" s="497">
        <v>93.1</v>
      </c>
      <c r="H23" s="498">
        <v>94.6</v>
      </c>
      <c r="I23" s="126">
        <v>98.2</v>
      </c>
      <c r="J23" s="497">
        <v>97.3</v>
      </c>
      <c r="K23" s="497">
        <v>99.1</v>
      </c>
      <c r="L23" s="497">
        <v>27.9</v>
      </c>
      <c r="M23" s="497">
        <v>98.6</v>
      </c>
      <c r="N23" s="497">
        <v>99.5</v>
      </c>
      <c r="O23" s="497">
        <v>99.1</v>
      </c>
      <c r="P23" s="133">
        <v>99.3</v>
      </c>
      <c r="Q23" s="497">
        <v>101</v>
      </c>
      <c r="R23" s="497">
        <v>98.5</v>
      </c>
      <c r="S23" s="497">
        <v>28.4</v>
      </c>
      <c r="T23" s="497">
        <v>99.5</v>
      </c>
      <c r="U23" s="497">
        <v>99.2</v>
      </c>
      <c r="V23" s="498">
        <v>99.3</v>
      </c>
      <c r="W23" s="98">
        <f t="shared" si="0"/>
        <v>1833.6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93.8</v>
      </c>
      <c r="C24" s="497">
        <v>93.9</v>
      </c>
      <c r="D24" s="497">
        <v>92.1</v>
      </c>
      <c r="E24" s="497">
        <v>24.9</v>
      </c>
      <c r="F24" s="497">
        <v>94.3</v>
      </c>
      <c r="G24" s="497">
        <v>92.1</v>
      </c>
      <c r="H24" s="498">
        <v>94.8</v>
      </c>
      <c r="I24" s="126">
        <v>98.3</v>
      </c>
      <c r="J24" s="497">
        <v>97.4</v>
      </c>
      <c r="K24" s="497">
        <v>99.1</v>
      </c>
      <c r="L24" s="497">
        <v>28.5</v>
      </c>
      <c r="M24" s="497">
        <v>98.6</v>
      </c>
      <c r="N24" s="497">
        <v>99.6</v>
      </c>
      <c r="O24" s="497">
        <v>99.1</v>
      </c>
      <c r="P24" s="133">
        <v>99.3</v>
      </c>
      <c r="Q24" s="497">
        <v>101</v>
      </c>
      <c r="R24" s="497">
        <v>97.5</v>
      </c>
      <c r="S24" s="497">
        <v>28.4</v>
      </c>
      <c r="T24" s="497">
        <v>98.2</v>
      </c>
      <c r="U24" s="497">
        <v>99.2</v>
      </c>
      <c r="V24" s="498">
        <v>99.4</v>
      </c>
      <c r="W24" s="98">
        <f t="shared" si="0"/>
        <v>1829.5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658.39999999999986</v>
      </c>
      <c r="C25" s="120">
        <f>SUM(C18:C24)</f>
        <v>658.4</v>
      </c>
      <c r="D25" s="120">
        <f t="shared" ref="D25:V25" si="1">SUM(D18:D24)</f>
        <v>651.6</v>
      </c>
      <c r="E25" s="120">
        <f t="shared" si="1"/>
        <v>182.9</v>
      </c>
      <c r="F25" s="120">
        <f t="shared" si="1"/>
        <v>665.3</v>
      </c>
      <c r="G25" s="120">
        <f t="shared" si="1"/>
        <v>651.6</v>
      </c>
      <c r="H25" s="121">
        <f t="shared" si="1"/>
        <v>664.09999999999991</v>
      </c>
      <c r="I25" s="122">
        <f t="shared" si="1"/>
        <v>690.4</v>
      </c>
      <c r="J25" s="120">
        <f t="shared" si="1"/>
        <v>682.4</v>
      </c>
      <c r="K25" s="120">
        <f t="shared" si="1"/>
        <v>696.1</v>
      </c>
      <c r="L25" s="120">
        <f t="shared" si="1"/>
        <v>200</v>
      </c>
      <c r="M25" s="120">
        <f t="shared" si="1"/>
        <v>692.7</v>
      </c>
      <c r="N25" s="120">
        <f t="shared" si="1"/>
        <v>697.30000000000007</v>
      </c>
      <c r="O25" s="121">
        <f t="shared" si="1"/>
        <v>695</v>
      </c>
      <c r="P25" s="122">
        <f t="shared" si="1"/>
        <v>697.3</v>
      </c>
      <c r="Q25" s="120">
        <f t="shared" si="1"/>
        <v>707.6</v>
      </c>
      <c r="R25" s="120">
        <f t="shared" si="1"/>
        <v>689.30000000000007</v>
      </c>
      <c r="S25" s="120">
        <f t="shared" si="1"/>
        <v>204.60000000000002</v>
      </c>
      <c r="T25" s="120">
        <f t="shared" si="1"/>
        <v>698.40000000000009</v>
      </c>
      <c r="U25" s="120">
        <f t="shared" si="1"/>
        <v>695.00000000000011</v>
      </c>
      <c r="V25" s="121">
        <f t="shared" si="1"/>
        <v>696.1</v>
      </c>
      <c r="W25" s="361">
        <f>SUM(W18:W24)</f>
        <v>12874.5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163.30000000000001</v>
      </c>
      <c r="C26" s="487">
        <v>163.30000000000001</v>
      </c>
      <c r="D26" s="487">
        <v>163.30000000000001</v>
      </c>
      <c r="E26" s="487">
        <v>163.30000000000001</v>
      </c>
      <c r="F26" s="487">
        <v>163.30000000000001</v>
      </c>
      <c r="G26" s="487">
        <v>163.30000000000001</v>
      </c>
      <c r="H26" s="487">
        <v>163.30000000000001</v>
      </c>
      <c r="I26" s="487">
        <v>163.30000000000001</v>
      </c>
      <c r="J26" s="487">
        <v>163.30000000000001</v>
      </c>
      <c r="K26" s="487">
        <v>163.30000000000001</v>
      </c>
      <c r="L26" s="487">
        <v>163.30000000000001</v>
      </c>
      <c r="M26" s="487">
        <v>163.30000000000001</v>
      </c>
      <c r="N26" s="487">
        <v>163.30000000000001</v>
      </c>
      <c r="O26" s="487">
        <v>163.30000000000001</v>
      </c>
      <c r="P26" s="487">
        <v>163.30000000000001</v>
      </c>
      <c r="Q26" s="487">
        <v>163.30000000000001</v>
      </c>
      <c r="R26" s="487">
        <v>163.30000000000001</v>
      </c>
      <c r="S26" s="487">
        <v>163.30000000000001</v>
      </c>
      <c r="T26" s="487">
        <v>163.30000000000001</v>
      </c>
      <c r="U26" s="487">
        <v>163.30000000000001</v>
      </c>
      <c r="V26" s="487">
        <v>163.30000000000001</v>
      </c>
      <c r="W26" s="99">
        <f>((W25/W27)/7)*1000</f>
        <v>163.34052270997208</v>
      </c>
    </row>
    <row r="27" spans="1:31" s="2" customFormat="1" ht="33" customHeight="1" x14ac:dyDescent="0.25">
      <c r="A27" s="149" t="s">
        <v>12</v>
      </c>
      <c r="B27" s="26">
        <v>576</v>
      </c>
      <c r="C27" s="27">
        <v>576</v>
      </c>
      <c r="D27" s="27">
        <v>570</v>
      </c>
      <c r="E27" s="27">
        <v>159</v>
      </c>
      <c r="F27" s="27">
        <v>582</v>
      </c>
      <c r="G27" s="27">
        <v>570</v>
      </c>
      <c r="H27" s="28">
        <v>581</v>
      </c>
      <c r="I27" s="26">
        <v>604</v>
      </c>
      <c r="J27" s="27">
        <v>597</v>
      </c>
      <c r="K27" s="27">
        <v>609</v>
      </c>
      <c r="L27" s="27">
        <v>175</v>
      </c>
      <c r="M27" s="27">
        <v>606</v>
      </c>
      <c r="N27" s="27">
        <v>610</v>
      </c>
      <c r="O27" s="28">
        <v>606</v>
      </c>
      <c r="P27" s="26">
        <v>610</v>
      </c>
      <c r="Q27" s="27">
        <v>619</v>
      </c>
      <c r="R27" s="27">
        <v>603</v>
      </c>
      <c r="S27" s="27">
        <v>179</v>
      </c>
      <c r="T27" s="27">
        <v>611</v>
      </c>
      <c r="U27" s="27">
        <v>608</v>
      </c>
      <c r="V27" s="28">
        <v>609</v>
      </c>
      <c r="W27" s="29">
        <f>SUM(B27:V27)</f>
        <v>11260</v>
      </c>
    </row>
    <row r="28" spans="1:31" s="2" customFormat="1" ht="33" customHeight="1" x14ac:dyDescent="0.25">
      <c r="A28" s="150" t="s">
        <v>13</v>
      </c>
      <c r="B28" s="30">
        <f>((((B26*7)*B27)/1000))/7</f>
        <v>94.060800000000015</v>
      </c>
      <c r="C28" s="31">
        <f t="shared" ref="C28:V28" si="2">((((C26*7)*C27)/1000))/7</f>
        <v>94.060800000000015</v>
      </c>
      <c r="D28" s="31">
        <f t="shared" si="2"/>
        <v>93.081000000000017</v>
      </c>
      <c r="E28" s="31">
        <f t="shared" si="2"/>
        <v>25.964700000000001</v>
      </c>
      <c r="F28" s="31">
        <f t="shared" si="2"/>
        <v>95.040600000000012</v>
      </c>
      <c r="G28" s="31">
        <f t="shared" si="2"/>
        <v>93.081000000000017</v>
      </c>
      <c r="H28" s="32">
        <f t="shared" si="2"/>
        <v>94.877300000000005</v>
      </c>
      <c r="I28" s="30">
        <f t="shared" si="2"/>
        <v>98.633200000000016</v>
      </c>
      <c r="J28" s="31">
        <f t="shared" si="2"/>
        <v>97.490100000000012</v>
      </c>
      <c r="K28" s="31">
        <f t="shared" si="2"/>
        <v>99.449700000000021</v>
      </c>
      <c r="L28" s="31">
        <f t="shared" si="2"/>
        <v>28.577500000000004</v>
      </c>
      <c r="M28" s="31">
        <f t="shared" si="2"/>
        <v>98.959800000000001</v>
      </c>
      <c r="N28" s="31">
        <f t="shared" si="2"/>
        <v>99.613000000000028</v>
      </c>
      <c r="O28" s="32">
        <f t="shared" si="2"/>
        <v>98.959800000000001</v>
      </c>
      <c r="P28" s="30">
        <f t="shared" si="2"/>
        <v>99.613000000000028</v>
      </c>
      <c r="Q28" s="31">
        <f t="shared" si="2"/>
        <v>101.08270000000002</v>
      </c>
      <c r="R28" s="31">
        <f t="shared" si="2"/>
        <v>98.46990000000001</v>
      </c>
      <c r="S28" s="31">
        <f t="shared" si="2"/>
        <v>29.230700000000006</v>
      </c>
      <c r="T28" s="31">
        <f t="shared" si="2"/>
        <v>99.776300000000006</v>
      </c>
      <c r="U28" s="31">
        <f t="shared" si="2"/>
        <v>99.2864</v>
      </c>
      <c r="V28" s="32">
        <f t="shared" si="2"/>
        <v>99.449700000000021</v>
      </c>
      <c r="W28" s="362">
        <f>((W25*1000)/7)/W27</f>
        <v>163.34052270997208</v>
      </c>
    </row>
    <row r="29" spans="1:31" ht="33.75" customHeight="1" x14ac:dyDescent="0.25">
      <c r="A29" s="151" t="s">
        <v>14</v>
      </c>
      <c r="B29" s="281">
        <f>((B27*B26)*7)/1000</f>
        <v>658.42560000000003</v>
      </c>
      <c r="C29" s="282">
        <f>((C27*C26)*7)/1000</f>
        <v>658.42560000000003</v>
      </c>
      <c r="D29" s="282">
        <f t="shared" ref="D29:V29" si="3">((D27*D26)*7)/1000</f>
        <v>651.56700000000001</v>
      </c>
      <c r="E29" s="282">
        <f t="shared" si="3"/>
        <v>181.75289999999998</v>
      </c>
      <c r="F29" s="282">
        <f t="shared" si="3"/>
        <v>665.28420000000006</v>
      </c>
      <c r="G29" s="282">
        <f t="shared" si="3"/>
        <v>651.56700000000001</v>
      </c>
      <c r="H29" s="284">
        <f t="shared" si="3"/>
        <v>664.14109999999994</v>
      </c>
      <c r="I29" s="281">
        <f t="shared" si="3"/>
        <v>690.43240000000014</v>
      </c>
      <c r="J29" s="282">
        <f t="shared" si="3"/>
        <v>682.43070000000012</v>
      </c>
      <c r="K29" s="282">
        <f t="shared" si="3"/>
        <v>696.14790000000016</v>
      </c>
      <c r="L29" s="282">
        <f t="shared" si="3"/>
        <v>200.04250000000002</v>
      </c>
      <c r="M29" s="282">
        <f t="shared" si="3"/>
        <v>692.71859999999992</v>
      </c>
      <c r="N29" s="282">
        <f t="shared" si="3"/>
        <v>697.29100000000005</v>
      </c>
      <c r="O29" s="284">
        <f t="shared" si="3"/>
        <v>692.71859999999992</v>
      </c>
      <c r="P29" s="281">
        <f t="shared" si="3"/>
        <v>697.29100000000005</v>
      </c>
      <c r="Q29" s="282">
        <f t="shared" si="3"/>
        <v>707.57890000000009</v>
      </c>
      <c r="R29" s="282">
        <f t="shared" si="3"/>
        <v>689.28930000000003</v>
      </c>
      <c r="S29" s="282">
        <f t="shared" si="3"/>
        <v>204.61490000000001</v>
      </c>
      <c r="T29" s="282">
        <f t="shared" si="3"/>
        <v>698.43409999999994</v>
      </c>
      <c r="U29" s="282">
        <f t="shared" si="3"/>
        <v>695.00480000000005</v>
      </c>
      <c r="V29" s="284">
        <f t="shared" si="3"/>
        <v>696.14790000000016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163.29365079365073</v>
      </c>
      <c r="C30" s="38">
        <f t="shared" ref="C30:V30" si="4">+(C25/C27)/7*1000</f>
        <v>163.29365079365078</v>
      </c>
      <c r="D30" s="38">
        <f t="shared" si="4"/>
        <v>163.30827067669173</v>
      </c>
      <c r="E30" s="38">
        <f t="shared" si="4"/>
        <v>164.33063791554358</v>
      </c>
      <c r="F30" s="38">
        <f t="shared" si="4"/>
        <v>163.30387825233186</v>
      </c>
      <c r="G30" s="38">
        <f t="shared" si="4"/>
        <v>163.30827067669173</v>
      </c>
      <c r="H30" s="39">
        <f t="shared" si="4"/>
        <v>163.28989427096136</v>
      </c>
      <c r="I30" s="37">
        <f t="shared" si="4"/>
        <v>163.29233680227057</v>
      </c>
      <c r="J30" s="38">
        <f t="shared" si="4"/>
        <v>163.29265374491504</v>
      </c>
      <c r="K30" s="38">
        <f t="shared" si="4"/>
        <v>163.28876378137463</v>
      </c>
      <c r="L30" s="38">
        <f t="shared" si="4"/>
        <v>163.26530612244898</v>
      </c>
      <c r="M30" s="38">
        <f t="shared" si="4"/>
        <v>163.29561527581333</v>
      </c>
      <c r="N30" s="38">
        <f t="shared" si="4"/>
        <v>163.30210772833726</v>
      </c>
      <c r="O30" s="39">
        <f t="shared" si="4"/>
        <v>163.83781235266383</v>
      </c>
      <c r="P30" s="37">
        <f t="shared" si="4"/>
        <v>163.30210772833723</v>
      </c>
      <c r="Q30" s="38">
        <f t="shared" si="4"/>
        <v>163.30486960535427</v>
      </c>
      <c r="R30" s="38">
        <f t="shared" si="4"/>
        <v>163.302534944326</v>
      </c>
      <c r="S30" s="38">
        <f t="shared" si="4"/>
        <v>163.2881085395052</v>
      </c>
      <c r="T30" s="38">
        <f t="shared" si="4"/>
        <v>163.29202712181436</v>
      </c>
      <c r="U30" s="38">
        <f t="shared" si="4"/>
        <v>163.29887218045116</v>
      </c>
      <c r="V30" s="39">
        <f t="shared" si="4"/>
        <v>163.28876378137463</v>
      </c>
      <c r="W30" s="40"/>
    </row>
    <row r="31" spans="1:31" ht="33.75" customHeight="1" x14ac:dyDescent="0.25">
      <c r="A31" s="41"/>
      <c r="B31" s="42">
        <f>B29-B25</f>
        <v>2.5600000000167711E-2</v>
      </c>
      <c r="C31" s="42">
        <f t="shared" ref="C31:V32" si="5">C29-C25</f>
        <v>2.5600000000054024E-2</v>
      </c>
      <c r="D31" s="42">
        <f t="shared" si="5"/>
        <v>-3.3000000000015461E-2</v>
      </c>
      <c r="E31" s="42">
        <f t="shared" si="5"/>
        <v>-1.1471000000000231</v>
      </c>
      <c r="F31" s="42">
        <f t="shared" si="5"/>
        <v>-1.5799999999899228E-2</v>
      </c>
      <c r="G31" s="42">
        <f t="shared" si="5"/>
        <v>-3.3000000000015461E-2</v>
      </c>
      <c r="H31" s="42">
        <f t="shared" si="5"/>
        <v>4.1100000000028558E-2</v>
      </c>
      <c r="I31" s="42">
        <f t="shared" si="5"/>
        <v>3.2400000000166074E-2</v>
      </c>
      <c r="J31" s="42">
        <f t="shared" si="5"/>
        <v>3.0700000000138061E-2</v>
      </c>
      <c r="K31" s="42">
        <f t="shared" si="5"/>
        <v>4.7900000000140608E-2</v>
      </c>
      <c r="L31" s="42">
        <f t="shared" si="5"/>
        <v>4.250000000001819E-2</v>
      </c>
      <c r="M31" s="42">
        <f t="shared" si="5"/>
        <v>1.8599999999878492E-2</v>
      </c>
      <c r="N31" s="42">
        <f t="shared" si="5"/>
        <v>-9.0000000000145519E-3</v>
      </c>
      <c r="O31" s="42">
        <f t="shared" si="5"/>
        <v>-2.281400000000076</v>
      </c>
      <c r="P31" s="42">
        <f t="shared" si="5"/>
        <v>-8.9999999999008651E-3</v>
      </c>
      <c r="Q31" s="42">
        <f t="shared" si="5"/>
        <v>-2.1099999999933061E-2</v>
      </c>
      <c r="R31" s="42">
        <f t="shared" si="5"/>
        <v>-1.0700000000042564E-2</v>
      </c>
      <c r="S31" s="42">
        <f t="shared" si="5"/>
        <v>1.4899999999983038E-2</v>
      </c>
      <c r="T31" s="42">
        <f t="shared" si="5"/>
        <v>3.4099999999853026E-2</v>
      </c>
      <c r="U31" s="42">
        <f t="shared" si="5"/>
        <v>4.7999999999319698E-3</v>
      </c>
      <c r="V31" s="42">
        <f t="shared" si="5"/>
        <v>4.7900000000140608E-2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-6.3492063492844864E-3</v>
      </c>
      <c r="C32" s="42">
        <f t="shared" si="5"/>
        <v>-6.3492063492276429E-3</v>
      </c>
      <c r="D32" s="42">
        <f t="shared" si="5"/>
        <v>8.270676691722656E-3</v>
      </c>
      <c r="E32" s="42">
        <f t="shared" si="5"/>
        <v>1.030637915543565</v>
      </c>
      <c r="F32" s="42">
        <f t="shared" si="5"/>
        <v>3.8782523318445783E-3</v>
      </c>
      <c r="G32" s="42">
        <f t="shared" si="5"/>
        <v>8.270676691722656E-3</v>
      </c>
      <c r="H32" s="42">
        <f t="shared" si="5"/>
        <v>-1.0105729038656364E-2</v>
      </c>
      <c r="I32" s="42">
        <f t="shared" si="5"/>
        <v>-7.6631977294425724E-3</v>
      </c>
      <c r="J32" s="42">
        <f t="shared" si="5"/>
        <v>-7.3462550849683339E-3</v>
      </c>
      <c r="K32" s="42">
        <f t="shared" si="5"/>
        <v>-1.1236218625384709E-2</v>
      </c>
      <c r="L32" s="42">
        <f t="shared" si="5"/>
        <v>-3.4693877551035257E-2</v>
      </c>
      <c r="M32" s="42">
        <f t="shared" si="5"/>
        <v>-4.384724186678568E-3</v>
      </c>
      <c r="N32" s="42">
        <f t="shared" si="5"/>
        <v>2.1077283372505917E-3</v>
      </c>
      <c r="O32" s="42">
        <f t="shared" si="5"/>
        <v>0.53781235266382055</v>
      </c>
      <c r="P32" s="42">
        <f t="shared" si="5"/>
        <v>2.10772833722217E-3</v>
      </c>
      <c r="Q32" s="42">
        <f>Q30-Q26</f>
        <v>4.8696053542585105E-3</v>
      </c>
      <c r="R32" s="42">
        <f t="shared" si="5"/>
        <v>2.5349443259869986E-3</v>
      </c>
      <c r="S32" s="42">
        <f t="shared" si="5"/>
        <v>-1.1891460494808825E-2</v>
      </c>
      <c r="T32" s="42">
        <f t="shared" si="5"/>
        <v>-7.9728781856545083E-3</v>
      </c>
      <c r="U32" s="42">
        <f t="shared" si="5"/>
        <v>-1.1278195488557685E-3</v>
      </c>
      <c r="V32" s="42">
        <f t="shared" si="5"/>
        <v>-1.1236218625384709E-2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91.3</v>
      </c>
      <c r="C39" s="497">
        <v>93.2</v>
      </c>
      <c r="D39" s="497">
        <v>23.5</v>
      </c>
      <c r="E39" s="497">
        <v>95.1</v>
      </c>
      <c r="F39" s="497">
        <v>93</v>
      </c>
      <c r="G39" s="498">
        <v>95.1</v>
      </c>
      <c r="H39" s="326">
        <f t="shared" ref="H39:H46" si="6">SUM(B39:G39)</f>
        <v>491.20000000000005</v>
      </c>
      <c r="I39" s="49"/>
      <c r="J39" s="42"/>
      <c r="K39" s="42"/>
      <c r="L39" s="42"/>
      <c r="M39" s="2"/>
      <c r="N39" s="146" t="s">
        <v>51</v>
      </c>
      <c r="O39" s="18">
        <v>6.6</v>
      </c>
      <c r="P39" s="19">
        <v>6.8</v>
      </c>
      <c r="Q39" s="19">
        <v>1.3</v>
      </c>
      <c r="R39" s="19">
        <v>6.9</v>
      </c>
      <c r="S39" s="19">
        <v>7.4</v>
      </c>
      <c r="T39" s="19">
        <v>7.3</v>
      </c>
      <c r="U39" s="326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91.1</v>
      </c>
      <c r="C40" s="497">
        <v>92.8</v>
      </c>
      <c r="D40" s="497">
        <v>23.3</v>
      </c>
      <c r="E40" s="497">
        <v>94.7</v>
      </c>
      <c r="F40" s="497">
        <v>92.7</v>
      </c>
      <c r="G40" s="498">
        <v>94.7</v>
      </c>
      <c r="H40" s="264">
        <f t="shared" si="6"/>
        <v>489.29999999999995</v>
      </c>
      <c r="I40" s="309"/>
      <c r="J40" s="42"/>
      <c r="K40" s="42"/>
      <c r="L40" s="42"/>
      <c r="M40" s="2"/>
      <c r="N40" s="146" t="s">
        <v>24</v>
      </c>
      <c r="O40" s="18">
        <v>6.6</v>
      </c>
      <c r="P40" s="19">
        <v>6.8</v>
      </c>
      <c r="Q40" s="19">
        <v>1.3</v>
      </c>
      <c r="R40" s="19">
        <v>6.7</v>
      </c>
      <c r="S40" s="19">
        <v>7.4</v>
      </c>
      <c r="T40" s="19">
        <v>7.3</v>
      </c>
      <c r="U40" s="264">
        <f t="shared" si="7"/>
        <v>36.099999999999994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91.1</v>
      </c>
      <c r="C41" s="486">
        <v>92.8</v>
      </c>
      <c r="D41" s="486">
        <v>23.3</v>
      </c>
      <c r="E41" s="486">
        <v>94.7</v>
      </c>
      <c r="F41" s="486">
        <v>92.7</v>
      </c>
      <c r="G41" s="499">
        <v>94.7</v>
      </c>
      <c r="H41" s="264">
        <f t="shared" si="6"/>
        <v>489.29999999999995</v>
      </c>
      <c r="I41" s="49"/>
      <c r="J41" s="196"/>
      <c r="K41" s="196"/>
      <c r="L41" s="196"/>
      <c r="M41" s="2"/>
      <c r="N41" s="146" t="s">
        <v>20</v>
      </c>
      <c r="O41" s="485">
        <v>6.6</v>
      </c>
      <c r="P41" s="486">
        <v>6.8</v>
      </c>
      <c r="Q41" s="486">
        <v>1.3</v>
      </c>
      <c r="R41" s="486">
        <v>6.7</v>
      </c>
      <c r="S41" s="486">
        <v>7.4</v>
      </c>
      <c r="T41" s="486">
        <v>7.3</v>
      </c>
      <c r="U41" s="264">
        <f t="shared" si="7"/>
        <v>36.099999999999994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90.7</v>
      </c>
      <c r="C42" s="486">
        <v>91.3</v>
      </c>
      <c r="D42" s="486">
        <v>23</v>
      </c>
      <c r="E42" s="486">
        <v>93.4</v>
      </c>
      <c r="F42" s="486">
        <v>92</v>
      </c>
      <c r="G42" s="499">
        <v>93.4</v>
      </c>
      <c r="H42" s="264">
        <f t="shared" si="6"/>
        <v>483.79999999999995</v>
      </c>
      <c r="I42" s="49"/>
      <c r="J42" s="2"/>
      <c r="K42" s="2"/>
      <c r="L42" s="2"/>
      <c r="M42" s="2"/>
      <c r="N42" s="146" t="s">
        <v>28</v>
      </c>
      <c r="O42" s="485">
        <v>6.6</v>
      </c>
      <c r="P42" s="486">
        <v>6.8</v>
      </c>
      <c r="Q42" s="486">
        <v>1.3</v>
      </c>
      <c r="R42" s="486">
        <v>6.7</v>
      </c>
      <c r="S42" s="486">
        <v>7.4</v>
      </c>
      <c r="T42" s="486">
        <v>7.3</v>
      </c>
      <c r="U42" s="264">
        <f t="shared" si="7"/>
        <v>36.099999999999994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90.7</v>
      </c>
      <c r="C43" s="497">
        <v>91.3</v>
      </c>
      <c r="D43" s="497">
        <v>23</v>
      </c>
      <c r="E43" s="497">
        <v>93.4</v>
      </c>
      <c r="F43" s="497">
        <v>92</v>
      </c>
      <c r="G43" s="498">
        <v>93.4</v>
      </c>
      <c r="H43" s="264">
        <f t="shared" si="6"/>
        <v>483.79999999999995</v>
      </c>
      <c r="I43" s="49"/>
      <c r="J43" s="222"/>
      <c r="K43" s="222"/>
      <c r="L43" s="222"/>
      <c r="M43" s="2"/>
      <c r="N43" s="146" t="s">
        <v>21</v>
      </c>
      <c r="O43" s="18">
        <v>6.3</v>
      </c>
      <c r="P43" s="19">
        <v>6.9</v>
      </c>
      <c r="Q43" s="19">
        <v>1.5</v>
      </c>
      <c r="R43" s="19">
        <v>6.3</v>
      </c>
      <c r="S43" s="19">
        <v>7.4</v>
      </c>
      <c r="T43" s="19">
        <v>7.4</v>
      </c>
      <c r="U43" s="264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</v>
      </c>
      <c r="C44" s="497">
        <v>90.9</v>
      </c>
      <c r="D44" s="497">
        <v>21.4</v>
      </c>
      <c r="E44" s="497">
        <v>91.5</v>
      </c>
      <c r="F44" s="497">
        <v>89.3</v>
      </c>
      <c r="G44" s="498">
        <v>92.6</v>
      </c>
      <c r="H44" s="264">
        <f t="shared" si="6"/>
        <v>474.70000000000005</v>
      </c>
      <c r="I44" s="49"/>
      <c r="J44" s="43"/>
      <c r="K44" s="43"/>
      <c r="L44" s="43"/>
      <c r="M44" s="2"/>
      <c r="N44" s="146" t="s">
        <v>22</v>
      </c>
      <c r="O44" s="18">
        <v>6.3</v>
      </c>
      <c r="P44" s="19">
        <v>6.9</v>
      </c>
      <c r="Q44" s="19">
        <v>1.4</v>
      </c>
      <c r="R44" s="19">
        <v>6.3</v>
      </c>
      <c r="S44" s="19">
        <v>7.4</v>
      </c>
      <c r="T44" s="19">
        <v>7.4</v>
      </c>
      <c r="U44" s="264">
        <f t="shared" si="7"/>
        <v>35.699999999999996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91.5</v>
      </c>
      <c r="C45" s="497">
        <v>88.7</v>
      </c>
      <c r="D45" s="497">
        <v>20.2</v>
      </c>
      <c r="E45" s="497">
        <v>90.4</v>
      </c>
      <c r="F45" s="497">
        <v>88.2</v>
      </c>
      <c r="G45" s="498">
        <v>92.6</v>
      </c>
      <c r="H45" s="265">
        <f t="shared" si="6"/>
        <v>471.59999999999991</v>
      </c>
      <c r="I45" s="559"/>
      <c r="J45" s="41"/>
      <c r="K45" s="41"/>
      <c r="L45" s="41"/>
      <c r="M45" s="2"/>
      <c r="N45" s="146" t="s">
        <v>23</v>
      </c>
      <c r="O45" s="18">
        <v>6.4</v>
      </c>
      <c r="P45" s="19">
        <v>7</v>
      </c>
      <c r="Q45" s="19">
        <v>1.5</v>
      </c>
      <c r="R45" s="19">
        <v>6.6</v>
      </c>
      <c r="S45" s="19">
        <v>7.4</v>
      </c>
      <c r="T45" s="19">
        <v>7.4</v>
      </c>
      <c r="U45" s="264">
        <f t="shared" si="7"/>
        <v>36.299999999999997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635.4</v>
      </c>
      <c r="C46" s="120">
        <f t="shared" si="8"/>
        <v>641.00000000000011</v>
      </c>
      <c r="D46" s="120">
        <f t="shared" si="8"/>
        <v>157.69999999999999</v>
      </c>
      <c r="E46" s="120">
        <f t="shared" si="8"/>
        <v>653.19999999999993</v>
      </c>
      <c r="F46" s="120">
        <f t="shared" si="8"/>
        <v>639.9</v>
      </c>
      <c r="G46" s="121">
        <f t="shared" si="8"/>
        <v>656.5</v>
      </c>
      <c r="H46" s="560">
        <f t="shared" si="6"/>
        <v>3383.7000000000003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45.399999999999991</v>
      </c>
      <c r="P46" s="120">
        <f t="shared" si="9"/>
        <v>48</v>
      </c>
      <c r="Q46" s="120">
        <f t="shared" si="9"/>
        <v>9.6</v>
      </c>
      <c r="R46" s="120">
        <f t="shared" si="9"/>
        <v>46.199999999999996</v>
      </c>
      <c r="S46" s="120">
        <f t="shared" si="9"/>
        <v>51.8</v>
      </c>
      <c r="T46" s="120">
        <f t="shared" si="9"/>
        <v>51.4</v>
      </c>
      <c r="U46" s="326">
        <f>SUM(O46:T46)</f>
        <v>252.4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234">
        <f>+((H46/H48)/7)*1000</f>
        <v>159.00845864661656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150.23809523809524</v>
      </c>
      <c r="V47" s="50"/>
    </row>
    <row r="48" spans="1:31" ht="33.75" customHeight="1" x14ac:dyDescent="0.25">
      <c r="A48" s="149" t="s">
        <v>12</v>
      </c>
      <c r="B48" s="26">
        <v>570</v>
      </c>
      <c r="C48" s="27">
        <v>576</v>
      </c>
      <c r="D48" s="27">
        <v>141</v>
      </c>
      <c r="E48" s="27">
        <v>586</v>
      </c>
      <c r="F48" s="27">
        <v>576</v>
      </c>
      <c r="G48" s="28">
        <v>591</v>
      </c>
      <c r="H48" s="256">
        <f>SUM(B48:G48)</f>
        <v>3040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46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240</v>
      </c>
      <c r="V48" s="52"/>
    </row>
    <row r="49" spans="1:30" ht="33.75" customHeight="1" x14ac:dyDescent="0.25">
      <c r="A49" s="150" t="s">
        <v>13</v>
      </c>
      <c r="B49" s="30">
        <f>(B48*B47)/1000</f>
        <v>90.459000000000003</v>
      </c>
      <c r="C49" s="31">
        <f t="shared" ref="C49:G49" si="10">(C48*C47)/1000</f>
        <v>91.411199999999994</v>
      </c>
      <c r="D49" s="31">
        <f t="shared" si="10"/>
        <v>22.376699999999996</v>
      </c>
      <c r="E49" s="31">
        <f t="shared" si="10"/>
        <v>92.998199999999997</v>
      </c>
      <c r="F49" s="31">
        <f t="shared" si="10"/>
        <v>91.411199999999994</v>
      </c>
      <c r="G49" s="32">
        <f t="shared" si="10"/>
        <v>93.791699999999992</v>
      </c>
      <c r="H49" s="257">
        <f>((H46*1000)/H48)/7</f>
        <v>159.00845864661656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6.4460000000000006</v>
      </c>
      <c r="P49" s="31">
        <f t="shared" si="11"/>
        <v>6.8756000000000004</v>
      </c>
      <c r="Q49" s="31">
        <f t="shared" si="11"/>
        <v>1.3952000000000002</v>
      </c>
      <c r="R49" s="31">
        <f t="shared" si="11"/>
        <v>6.5200000000000005</v>
      </c>
      <c r="S49" s="31">
        <f t="shared" si="11"/>
        <v>7.3985999999999992</v>
      </c>
      <c r="T49" s="31">
        <f t="shared" si="11"/>
        <v>7.3616000000000001</v>
      </c>
      <c r="U49" s="253">
        <f>((U46*1000)/U48)/7</f>
        <v>150.23809523809524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633.21299999999997</v>
      </c>
      <c r="C50" s="282">
        <f t="shared" si="12"/>
        <v>639.87840000000006</v>
      </c>
      <c r="D50" s="282">
        <f t="shared" si="12"/>
        <v>156.63689999999997</v>
      </c>
      <c r="E50" s="282">
        <f t="shared" si="12"/>
        <v>650.98739999999998</v>
      </c>
      <c r="F50" s="282">
        <f t="shared" si="12"/>
        <v>639.87840000000006</v>
      </c>
      <c r="G50" s="284">
        <f t="shared" si="12"/>
        <v>656.54190000000006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47.978000000000002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159.24812030075185</v>
      </c>
      <c r="C51" s="38">
        <f t="shared" si="14"/>
        <v>158.97817460317461</v>
      </c>
      <c r="D51" s="38">
        <f t="shared" si="14"/>
        <v>159.77710233029381</v>
      </c>
      <c r="E51" s="38">
        <f t="shared" si="14"/>
        <v>159.2393954168698</v>
      </c>
      <c r="F51" s="38">
        <f t="shared" si="14"/>
        <v>158.70535714285714</v>
      </c>
      <c r="G51" s="39">
        <f t="shared" si="14"/>
        <v>158.68987188784143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147.40259740259737</v>
      </c>
      <c r="P51" s="38">
        <f t="shared" si="15"/>
        <v>149.06832298136646</v>
      </c>
      <c r="Q51" s="38">
        <f t="shared" si="15"/>
        <v>152.38095238095238</v>
      </c>
      <c r="R51" s="38">
        <f t="shared" si="15"/>
        <v>149.99999999999997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-2.1870000000000118</v>
      </c>
      <c r="C52" s="42">
        <f t="shared" ref="C52:G53" si="16">C50-C46</f>
        <v>-1.1216000000000577</v>
      </c>
      <c r="D52" s="42">
        <f t="shared" si="16"/>
        <v>-1.0631000000000199</v>
      </c>
      <c r="E52" s="42">
        <f t="shared" si="16"/>
        <v>-2.2125999999999522</v>
      </c>
      <c r="F52" s="42">
        <f t="shared" si="16"/>
        <v>-2.1599999999921238E-2</v>
      </c>
      <c r="G52" s="42">
        <f t="shared" si="16"/>
        <v>4.1900000000055115E-2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3.0000000000008242E-2</v>
      </c>
      <c r="P52" s="42">
        <f t="shared" si="17"/>
        <v>-2.1999999999998465E-2</v>
      </c>
      <c r="Q52" s="42">
        <f t="shared" si="17"/>
        <v>-2.3999999999999133E-2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0.54812030075186158</v>
      </c>
      <c r="C53" s="42">
        <f t="shared" si="16"/>
        <v>0.27817460317461951</v>
      </c>
      <c r="D53" s="42">
        <f t="shared" si="16"/>
        <v>1.0771023302938261</v>
      </c>
      <c r="E53" s="42">
        <f t="shared" si="16"/>
        <v>0.53939541686980874</v>
      </c>
      <c r="F53" s="42">
        <f t="shared" si="16"/>
        <v>5.3571428571501656E-3</v>
      </c>
      <c r="G53" s="42">
        <f t="shared" si="16"/>
        <v>-1.0128112158554359E-2</v>
      </c>
      <c r="I53" s="2"/>
      <c r="J53" s="2"/>
      <c r="K53" s="45"/>
      <c r="L53" s="41"/>
      <c r="M53" s="42"/>
      <c r="N53" s="42"/>
      <c r="O53" s="42">
        <f t="shared" si="17"/>
        <v>-9.7402597402634683E-2</v>
      </c>
      <c r="P53" s="42">
        <f t="shared" si="17"/>
        <v>6.8322981366463864E-2</v>
      </c>
      <c r="Q53" s="42">
        <f t="shared" si="17"/>
        <v>0.3809523809523796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61"/>
      <c r="C54" s="1061"/>
      <c r="D54" s="106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7.7</v>
      </c>
      <c r="D60" s="19">
        <v>7.9</v>
      </c>
      <c r="E60" s="19">
        <v>2.2000000000000002</v>
      </c>
      <c r="F60" s="19">
        <v>7.9</v>
      </c>
      <c r="G60" s="19">
        <v>7.7</v>
      </c>
      <c r="H60" s="104">
        <v>7.9</v>
      </c>
      <c r="I60" s="18">
        <v>8.1999999999999993</v>
      </c>
      <c r="J60" s="19">
        <v>7.5</v>
      </c>
      <c r="K60" s="19">
        <v>8.1</v>
      </c>
      <c r="L60" s="267">
        <v>1.8</v>
      </c>
      <c r="M60" s="267">
        <v>8.1</v>
      </c>
      <c r="N60" s="19">
        <v>8</v>
      </c>
      <c r="O60" s="474">
        <v>8.1</v>
      </c>
      <c r="P60" s="281">
        <v>8.1</v>
      </c>
      <c r="Q60" s="282">
        <v>8.1</v>
      </c>
      <c r="R60" s="282">
        <v>7.8</v>
      </c>
      <c r="S60" s="282">
        <v>2</v>
      </c>
      <c r="T60" s="282">
        <v>8</v>
      </c>
      <c r="U60" s="282">
        <v>8.1</v>
      </c>
      <c r="V60" s="283">
        <v>7.8</v>
      </c>
      <c r="W60" s="264">
        <f t="shared" ref="W60:W66" si="18">SUM(B60:V60)</f>
        <v>148.79999999999998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7.8</v>
      </c>
      <c r="C61" s="19">
        <v>7.7</v>
      </c>
      <c r="D61" s="19">
        <v>7.9</v>
      </c>
      <c r="E61" s="19">
        <v>2.2000000000000002</v>
      </c>
      <c r="F61" s="19">
        <v>7.9</v>
      </c>
      <c r="G61" s="19">
        <v>7.7</v>
      </c>
      <c r="H61" s="104">
        <v>7.9</v>
      </c>
      <c r="I61" s="18">
        <v>8.1999999999999993</v>
      </c>
      <c r="J61" s="19">
        <v>7.5</v>
      </c>
      <c r="K61" s="19">
        <v>8.1</v>
      </c>
      <c r="L61" s="267">
        <v>1.8</v>
      </c>
      <c r="M61" s="267">
        <v>8.1</v>
      </c>
      <c r="N61" s="19">
        <v>8</v>
      </c>
      <c r="O61" s="474">
        <v>8.1</v>
      </c>
      <c r="P61" s="281">
        <v>8.1</v>
      </c>
      <c r="Q61" s="282">
        <v>8.1</v>
      </c>
      <c r="R61" s="282">
        <v>7.8</v>
      </c>
      <c r="S61" s="282">
        <v>2</v>
      </c>
      <c r="T61" s="282">
        <v>8</v>
      </c>
      <c r="U61" s="282">
        <v>8.1</v>
      </c>
      <c r="V61" s="283">
        <v>7.8</v>
      </c>
      <c r="W61" s="264">
        <f t="shared" si="18"/>
        <v>148.79999999999998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7.8</v>
      </c>
      <c r="C62" s="486">
        <v>7.7</v>
      </c>
      <c r="D62" s="486">
        <v>7.9</v>
      </c>
      <c r="E62" s="486">
        <v>2.2000000000000002</v>
      </c>
      <c r="F62" s="486">
        <v>7.9</v>
      </c>
      <c r="G62" s="486">
        <v>7.7</v>
      </c>
      <c r="H62" s="556">
        <v>7.9</v>
      </c>
      <c r="I62" s="485">
        <v>8.1999999999999993</v>
      </c>
      <c r="J62" s="486">
        <v>7.5</v>
      </c>
      <c r="K62" s="486">
        <v>8.1</v>
      </c>
      <c r="L62" s="557">
        <v>1.8</v>
      </c>
      <c r="M62" s="557">
        <v>8.1</v>
      </c>
      <c r="N62" s="486">
        <v>8</v>
      </c>
      <c r="O62" s="558">
        <v>8.1</v>
      </c>
      <c r="P62" s="485">
        <v>8.1</v>
      </c>
      <c r="Q62" s="486">
        <v>8.1</v>
      </c>
      <c r="R62" s="486">
        <v>7.8</v>
      </c>
      <c r="S62" s="486">
        <v>2</v>
      </c>
      <c r="T62" s="486">
        <v>8</v>
      </c>
      <c r="U62" s="486">
        <v>8.1</v>
      </c>
      <c r="V62" s="556">
        <v>7.8</v>
      </c>
      <c r="W62" s="264">
        <f t="shared" si="18"/>
        <v>148.79999999999998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7.8</v>
      </c>
      <c r="C63" s="486">
        <v>7.7</v>
      </c>
      <c r="D63" s="486">
        <v>7.9</v>
      </c>
      <c r="E63" s="486">
        <v>2.2000000000000002</v>
      </c>
      <c r="F63" s="486">
        <v>7.9</v>
      </c>
      <c r="G63" s="486">
        <v>7.7</v>
      </c>
      <c r="H63" s="556">
        <v>7.9</v>
      </c>
      <c r="I63" s="485">
        <v>8.1999999999999993</v>
      </c>
      <c r="J63" s="486">
        <v>7.5</v>
      </c>
      <c r="K63" s="486">
        <v>8.1</v>
      </c>
      <c r="L63" s="557">
        <v>1.8</v>
      </c>
      <c r="M63" s="557">
        <v>8.1</v>
      </c>
      <c r="N63" s="486">
        <v>8</v>
      </c>
      <c r="O63" s="558">
        <v>8.1</v>
      </c>
      <c r="P63" s="485">
        <v>8.1</v>
      </c>
      <c r="Q63" s="486">
        <v>8.1</v>
      </c>
      <c r="R63" s="486">
        <v>7.8</v>
      </c>
      <c r="S63" s="486">
        <v>2</v>
      </c>
      <c r="T63" s="486">
        <v>8</v>
      </c>
      <c r="U63" s="486">
        <v>8.1</v>
      </c>
      <c r="V63" s="556">
        <v>7.8</v>
      </c>
      <c r="W63" s="264">
        <f t="shared" si="18"/>
        <v>148.79999999999998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2.1</v>
      </c>
      <c r="F64" s="19">
        <v>7.9</v>
      </c>
      <c r="G64" s="19">
        <v>8</v>
      </c>
      <c r="H64" s="104">
        <v>7.6</v>
      </c>
      <c r="I64" s="18">
        <v>8.3000000000000007</v>
      </c>
      <c r="J64" s="19">
        <v>7.9</v>
      </c>
      <c r="K64" s="19">
        <v>8.3000000000000007</v>
      </c>
      <c r="L64" s="267">
        <v>2</v>
      </c>
      <c r="M64" s="267">
        <v>7.9</v>
      </c>
      <c r="N64" s="19">
        <v>7.6</v>
      </c>
      <c r="O64" s="474">
        <v>8.1</v>
      </c>
      <c r="P64" s="281">
        <v>8.3000000000000007</v>
      </c>
      <c r="Q64" s="282">
        <v>7.7</v>
      </c>
      <c r="R64" s="282">
        <v>7.8</v>
      </c>
      <c r="S64" s="282">
        <v>2.1</v>
      </c>
      <c r="T64" s="282">
        <v>8</v>
      </c>
      <c r="U64" s="282">
        <v>8.1999999999999993</v>
      </c>
      <c r="V64" s="283">
        <v>7.8</v>
      </c>
      <c r="W64" s="264">
        <f t="shared" si="18"/>
        <v>149.30000000000001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8</v>
      </c>
      <c r="C65" s="19">
        <v>7.8</v>
      </c>
      <c r="D65" s="19">
        <v>8</v>
      </c>
      <c r="E65" s="19">
        <v>2.1</v>
      </c>
      <c r="F65" s="19">
        <v>7.9</v>
      </c>
      <c r="G65" s="19">
        <v>7.9</v>
      </c>
      <c r="H65" s="104">
        <v>7.6</v>
      </c>
      <c r="I65" s="18">
        <v>8.1999999999999993</v>
      </c>
      <c r="J65" s="19">
        <v>7.8</v>
      </c>
      <c r="K65" s="19">
        <v>8.3000000000000007</v>
      </c>
      <c r="L65" s="267">
        <v>1.9</v>
      </c>
      <c r="M65" s="267">
        <v>7.9</v>
      </c>
      <c r="N65" s="19">
        <v>7.7</v>
      </c>
      <c r="O65" s="474">
        <v>8.1999999999999993</v>
      </c>
      <c r="P65" s="281">
        <v>8.1999999999999993</v>
      </c>
      <c r="Q65" s="282">
        <v>7.7</v>
      </c>
      <c r="R65" s="282">
        <v>7.8</v>
      </c>
      <c r="S65" s="282">
        <v>2.1</v>
      </c>
      <c r="T65" s="282">
        <v>8.1</v>
      </c>
      <c r="U65" s="282">
        <v>8.3000000000000007</v>
      </c>
      <c r="V65" s="283">
        <v>7.8</v>
      </c>
      <c r="W65" s="264">
        <f t="shared" si="18"/>
        <v>149.30000000000004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7.8</v>
      </c>
      <c r="D66" s="19">
        <v>8</v>
      </c>
      <c r="E66" s="19">
        <v>2.2000000000000002</v>
      </c>
      <c r="F66" s="19">
        <v>7.9</v>
      </c>
      <c r="G66" s="19">
        <v>7.9</v>
      </c>
      <c r="H66" s="104">
        <v>7.8</v>
      </c>
      <c r="I66" s="18">
        <v>8.1999999999999993</v>
      </c>
      <c r="J66" s="19">
        <v>7.8</v>
      </c>
      <c r="K66" s="19">
        <v>8.3000000000000007</v>
      </c>
      <c r="L66" s="267">
        <v>2</v>
      </c>
      <c r="M66" s="267">
        <v>8</v>
      </c>
      <c r="N66" s="19">
        <v>7.7</v>
      </c>
      <c r="O66" s="474">
        <v>8.1999999999999993</v>
      </c>
      <c r="P66" s="281">
        <v>8.1999999999999993</v>
      </c>
      <c r="Q66" s="282">
        <v>7.9</v>
      </c>
      <c r="R66" s="282">
        <v>7.8</v>
      </c>
      <c r="S66" s="282">
        <v>2.1</v>
      </c>
      <c r="T66" s="282">
        <v>8.1</v>
      </c>
      <c r="U66" s="282">
        <v>8.4</v>
      </c>
      <c r="V66" s="283">
        <v>7.8</v>
      </c>
      <c r="W66" s="265">
        <f t="shared" si="18"/>
        <v>150.20000000000002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55.2</v>
      </c>
      <c r="C67" s="120">
        <f>SUM(C60:C66)</f>
        <v>54.3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54.599999999999994</v>
      </c>
      <c r="H67" s="268">
        <f t="shared" si="19"/>
        <v>54.6</v>
      </c>
      <c r="I67" s="122">
        <f t="shared" si="19"/>
        <v>57.5</v>
      </c>
      <c r="J67" s="120">
        <f t="shared" si="19"/>
        <v>53.499999999999993</v>
      </c>
      <c r="K67" s="120">
        <f t="shared" si="19"/>
        <v>57.3</v>
      </c>
      <c r="L67" s="120">
        <f t="shared" si="19"/>
        <v>13.1</v>
      </c>
      <c r="M67" s="120">
        <f t="shared" si="19"/>
        <v>56.199999999999996</v>
      </c>
      <c r="N67" s="120">
        <f t="shared" si="19"/>
        <v>55.000000000000007</v>
      </c>
      <c r="O67" s="121">
        <f t="shared" si="19"/>
        <v>56.900000000000006</v>
      </c>
      <c r="P67" s="122">
        <f t="shared" si="19"/>
        <v>57.100000000000009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57.29999999999999</v>
      </c>
      <c r="V67" s="121">
        <f t="shared" si="19"/>
        <v>54.599999999999994</v>
      </c>
      <c r="W67" s="263">
        <f>SUM(W60:W66)</f>
        <v>1044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155.19548089787421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51</v>
      </c>
      <c r="O69" s="28">
        <v>53</v>
      </c>
      <c r="P69" s="26">
        <v>52</v>
      </c>
      <c r="Q69" s="27">
        <v>51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961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7.9112999999999998</v>
      </c>
      <c r="C70" s="31">
        <f t="shared" ref="C70:V70" si="20">((((C68*7)*C69)/1000)-(C60+C61))/5</f>
        <v>7.7700000000000005</v>
      </c>
      <c r="D70" s="31">
        <f t="shared" si="20"/>
        <v>7.9426999999999994</v>
      </c>
      <c r="E70" s="31">
        <f t="shared" si="20"/>
        <v>2.1678000000000002</v>
      </c>
      <c r="F70" s="31">
        <f t="shared" si="20"/>
        <v>7.9069999999999991</v>
      </c>
      <c r="G70" s="31">
        <f t="shared" si="20"/>
        <v>7.6216000000000008</v>
      </c>
      <c r="H70" s="464">
        <f t="shared" si="20"/>
        <v>7.76</v>
      </c>
      <c r="I70" s="358">
        <f t="shared" si="20"/>
        <v>8.2210000000000001</v>
      </c>
      <c r="J70" s="31">
        <f t="shared" si="20"/>
        <v>7.7016000000000009</v>
      </c>
      <c r="K70" s="31">
        <f t="shared" si="20"/>
        <v>8.2239000000000004</v>
      </c>
      <c r="L70" s="31">
        <f t="shared" si="20"/>
        <v>1.8923999999999999</v>
      </c>
      <c r="M70" s="31">
        <f t="shared" si="20"/>
        <v>8.0076000000000001</v>
      </c>
      <c r="N70" s="31">
        <f t="shared" si="20"/>
        <v>7.7956000000000003</v>
      </c>
      <c r="O70" s="322">
        <f t="shared" si="20"/>
        <v>8.1497000000000011</v>
      </c>
      <c r="P70" s="30">
        <f t="shared" si="20"/>
        <v>8.1896000000000022</v>
      </c>
      <c r="Q70" s="31">
        <f t="shared" si="20"/>
        <v>7.8984000000000005</v>
      </c>
      <c r="R70" s="31">
        <f t="shared" si="20"/>
        <v>7.8</v>
      </c>
      <c r="S70" s="31">
        <f t="shared" si="20"/>
        <v>2.0574000000000003</v>
      </c>
      <c r="T70" s="31">
        <f t="shared" si="20"/>
        <v>8.0475999999999992</v>
      </c>
      <c r="U70" s="31">
        <f t="shared" si="20"/>
        <v>8.2239000000000004</v>
      </c>
      <c r="V70" s="32">
        <f t="shared" si="20"/>
        <v>7.8041999999999998</v>
      </c>
      <c r="W70" s="362">
        <f>((W67*1000)/7)/W69</f>
        <v>155.19548089787423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53.508000000000003</v>
      </c>
      <c r="K71" s="282">
        <f t="shared" si="21"/>
        <v>57.319499999999998</v>
      </c>
      <c r="L71" s="282">
        <f t="shared" si="21"/>
        <v>13.061999999999999</v>
      </c>
      <c r="M71" s="282">
        <f t="shared" si="21"/>
        <v>56.238</v>
      </c>
      <c r="N71" s="282">
        <f t="shared" si="21"/>
        <v>54.978000000000002</v>
      </c>
      <c r="O71" s="284">
        <f t="shared" si="21"/>
        <v>56.948500000000003</v>
      </c>
      <c r="P71" s="281">
        <f t="shared" si="21"/>
        <v>57.148000000000003</v>
      </c>
      <c r="Q71" s="282">
        <f t="shared" si="21"/>
        <v>55.692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154.62184873949585</v>
      </c>
      <c r="C72" s="38">
        <f t="shared" ref="C72:V72" si="22">+(C67/C69)/7*1000</f>
        <v>155.14285714285711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159.18367346938771</v>
      </c>
      <c r="H72" s="158">
        <f t="shared" si="22"/>
        <v>156</v>
      </c>
      <c r="I72" s="37">
        <f t="shared" si="22"/>
        <v>154.98652291105122</v>
      </c>
      <c r="J72" s="38">
        <f t="shared" si="22"/>
        <v>155.97667638483961</v>
      </c>
      <c r="K72" s="38">
        <f t="shared" si="22"/>
        <v>154.4474393530997</v>
      </c>
      <c r="L72" s="38">
        <f t="shared" si="22"/>
        <v>155.95238095238093</v>
      </c>
      <c r="M72" s="38">
        <f t="shared" si="22"/>
        <v>154.39560439560438</v>
      </c>
      <c r="N72" s="38">
        <f t="shared" si="22"/>
        <v>154.06162464985999</v>
      </c>
      <c r="O72" s="39">
        <f t="shared" si="22"/>
        <v>153.36927223719678</v>
      </c>
      <c r="P72" s="37">
        <f t="shared" si="22"/>
        <v>156.86813186813188</v>
      </c>
      <c r="Q72" s="38">
        <f t="shared" si="22"/>
        <v>156.02240896358546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-4.3500000000001648E-2</v>
      </c>
      <c r="C73" s="42">
        <f t="shared" ref="C73:V74" si="23">C71-C67</f>
        <v>-4.9999999999997158E-2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-1.0919999999999916</v>
      </c>
      <c r="H73" s="42">
        <f t="shared" si="23"/>
        <v>0</v>
      </c>
      <c r="I73" s="42">
        <f t="shared" si="23"/>
        <v>5.000000000002558E-3</v>
      </c>
      <c r="J73" s="42">
        <f t="shared" si="23"/>
        <v>8.0000000000097771E-3</v>
      </c>
      <c r="K73" s="42">
        <f t="shared" si="23"/>
        <v>1.9500000000000739E-2</v>
      </c>
      <c r="L73" s="42">
        <f t="shared" si="23"/>
        <v>-3.8000000000000256E-2</v>
      </c>
      <c r="M73" s="42">
        <f t="shared" si="23"/>
        <v>3.8000000000003809E-2</v>
      </c>
      <c r="N73" s="42">
        <f t="shared" si="23"/>
        <v>-2.2000000000005571E-2</v>
      </c>
      <c r="O73" s="42">
        <f t="shared" si="23"/>
        <v>4.8499999999997101E-2</v>
      </c>
      <c r="P73" s="42">
        <f t="shared" si="23"/>
        <v>4.7999999999994714E-2</v>
      </c>
      <c r="Q73" s="42">
        <f t="shared" si="23"/>
        <v>-8.0000000000026716E-3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1.9500000000007844E-2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0.12184873949584585</v>
      </c>
      <c r="C74" s="42">
        <f t="shared" si="23"/>
        <v>0.14285714285711038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3.1836734693877133</v>
      </c>
      <c r="H74" s="42">
        <f t="shared" si="23"/>
        <v>0</v>
      </c>
      <c r="I74" s="42">
        <f t="shared" si="23"/>
        <v>-1.3477088948775418E-2</v>
      </c>
      <c r="J74" s="42">
        <f t="shared" si="23"/>
        <v>-2.3323615160393274E-2</v>
      </c>
      <c r="K74" s="42">
        <f t="shared" si="23"/>
        <v>-5.2560646900303709E-2</v>
      </c>
      <c r="L74" s="42">
        <f t="shared" si="23"/>
        <v>0.45238095238093479</v>
      </c>
      <c r="M74" s="42">
        <f t="shared" si="23"/>
        <v>-0.10439560439562001</v>
      </c>
      <c r="N74" s="42">
        <f t="shared" si="23"/>
        <v>6.1624649859993497E-2</v>
      </c>
      <c r="O74" s="42">
        <f t="shared" si="23"/>
        <v>-0.13072776280321818</v>
      </c>
      <c r="P74" s="42">
        <f t="shared" si="23"/>
        <v>-0.13186813186811719</v>
      </c>
      <c r="Q74" s="42">
        <f>Q72-Q68</f>
        <v>2.2408963585462516E-2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52"/>
  <dimension ref="A1:AE244"/>
  <sheetViews>
    <sheetView topLeftCell="A10" zoomScale="25" zoomScaleNormal="30" workbookViewId="0">
      <selection activeCell="B66" sqref="B66:V6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36</v>
      </c>
      <c r="Q11" s="1022"/>
      <c r="R11" s="6"/>
      <c r="S11" s="1" t="s">
        <v>6</v>
      </c>
      <c r="T11" s="95">
        <v>45629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93.8</v>
      </c>
      <c r="C18" s="282">
        <v>93.9</v>
      </c>
      <c r="D18" s="282">
        <v>92.1</v>
      </c>
      <c r="E18" s="282">
        <v>24.9</v>
      </c>
      <c r="F18" s="282">
        <v>94.3</v>
      </c>
      <c r="G18" s="282">
        <v>92.1</v>
      </c>
      <c r="H18" s="284">
        <v>94.8</v>
      </c>
      <c r="I18" s="285">
        <v>98.3</v>
      </c>
      <c r="J18" s="282">
        <v>97.4</v>
      </c>
      <c r="K18" s="282">
        <v>99.1</v>
      </c>
      <c r="L18" s="282">
        <v>28.5</v>
      </c>
      <c r="M18" s="282">
        <v>98.6</v>
      </c>
      <c r="N18" s="282">
        <v>99.6</v>
      </c>
      <c r="O18" s="282">
        <v>99.1</v>
      </c>
      <c r="P18" s="281">
        <v>99.3</v>
      </c>
      <c r="Q18" s="282">
        <v>101</v>
      </c>
      <c r="R18" s="282">
        <v>97.5</v>
      </c>
      <c r="S18" s="282">
        <v>28.4</v>
      </c>
      <c r="T18" s="282">
        <v>98.2</v>
      </c>
      <c r="U18" s="282">
        <v>99.2</v>
      </c>
      <c r="V18" s="284">
        <v>99.4</v>
      </c>
      <c r="W18" s="538">
        <f t="shared" ref="W18:W24" si="0">SUM(B18:V18)</f>
        <v>1829.5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93.8</v>
      </c>
      <c r="C19" s="282">
        <v>93.9</v>
      </c>
      <c r="D19" s="282">
        <v>92.1</v>
      </c>
      <c r="E19" s="282">
        <v>24.9</v>
      </c>
      <c r="F19" s="282">
        <v>94.3</v>
      </c>
      <c r="G19" s="282">
        <v>92.1</v>
      </c>
      <c r="H19" s="284">
        <v>94.8</v>
      </c>
      <c r="I19" s="285">
        <v>98.3</v>
      </c>
      <c r="J19" s="282">
        <v>97.4</v>
      </c>
      <c r="K19" s="282">
        <v>99.1</v>
      </c>
      <c r="L19" s="282">
        <v>28.5</v>
      </c>
      <c r="M19" s="282">
        <v>98.6</v>
      </c>
      <c r="N19" s="282">
        <v>99.6</v>
      </c>
      <c r="O19" s="282">
        <v>99.1</v>
      </c>
      <c r="P19" s="281">
        <v>99.3</v>
      </c>
      <c r="Q19" s="282">
        <v>101</v>
      </c>
      <c r="R19" s="282">
        <v>97.5</v>
      </c>
      <c r="S19" s="282">
        <v>28.4</v>
      </c>
      <c r="T19" s="282">
        <v>98.2</v>
      </c>
      <c r="U19" s="282">
        <v>99.2</v>
      </c>
      <c r="V19" s="284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93.3</v>
      </c>
      <c r="C20" s="282">
        <v>93.3</v>
      </c>
      <c r="D20" s="282">
        <v>92.2</v>
      </c>
      <c r="E20" s="282">
        <v>26.1</v>
      </c>
      <c r="F20" s="282">
        <v>94.5</v>
      </c>
      <c r="G20" s="282">
        <v>92.6</v>
      </c>
      <c r="H20" s="284">
        <v>93.8</v>
      </c>
      <c r="I20" s="285">
        <v>97.9</v>
      </c>
      <c r="J20" s="282">
        <v>96.7</v>
      </c>
      <c r="K20" s="282">
        <v>98.5</v>
      </c>
      <c r="L20" s="282">
        <v>28.1</v>
      </c>
      <c r="M20" s="282">
        <v>98</v>
      </c>
      <c r="N20" s="282">
        <v>98.7</v>
      </c>
      <c r="O20" s="282">
        <v>98</v>
      </c>
      <c r="P20" s="281">
        <v>98.8</v>
      </c>
      <c r="Q20" s="282">
        <v>100.2</v>
      </c>
      <c r="R20" s="282">
        <v>98</v>
      </c>
      <c r="S20" s="282">
        <v>29.3</v>
      </c>
      <c r="T20" s="282">
        <v>99.5</v>
      </c>
      <c r="U20" s="282">
        <v>98.5</v>
      </c>
      <c r="V20" s="284">
        <v>98.4</v>
      </c>
      <c r="W20" s="538">
        <f t="shared" si="0"/>
        <v>1824.4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93.3</v>
      </c>
      <c r="C21" s="282">
        <v>93.3</v>
      </c>
      <c r="D21" s="282">
        <v>92.2</v>
      </c>
      <c r="E21" s="282">
        <v>26.1</v>
      </c>
      <c r="F21" s="282">
        <v>94.5</v>
      </c>
      <c r="G21" s="282">
        <v>92.7</v>
      </c>
      <c r="H21" s="284">
        <v>93.8</v>
      </c>
      <c r="I21" s="285">
        <v>97.9</v>
      </c>
      <c r="J21" s="282">
        <v>96.7</v>
      </c>
      <c r="K21" s="282">
        <v>98.5</v>
      </c>
      <c r="L21" s="282">
        <v>28.1</v>
      </c>
      <c r="M21" s="282">
        <v>98</v>
      </c>
      <c r="N21" s="282">
        <v>98.7</v>
      </c>
      <c r="O21" s="282">
        <v>98</v>
      </c>
      <c r="P21" s="281">
        <v>98.9</v>
      </c>
      <c r="Q21" s="282">
        <v>100.2</v>
      </c>
      <c r="R21" s="282">
        <v>98</v>
      </c>
      <c r="S21" s="282">
        <v>29.3</v>
      </c>
      <c r="T21" s="282">
        <v>99.5</v>
      </c>
      <c r="U21" s="282">
        <v>98.5</v>
      </c>
      <c r="V21" s="284">
        <v>98.4</v>
      </c>
      <c r="W21" s="538">
        <f t="shared" si="0"/>
        <v>1824.6000000000001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93</v>
      </c>
      <c r="C22" s="282">
        <v>93.3</v>
      </c>
      <c r="D22" s="282">
        <v>91.9</v>
      </c>
      <c r="E22" s="282">
        <v>26.2</v>
      </c>
      <c r="F22" s="282">
        <v>94.5</v>
      </c>
      <c r="G22" s="282">
        <v>92.7</v>
      </c>
      <c r="H22" s="284">
        <v>93.9</v>
      </c>
      <c r="I22" s="285">
        <v>97.9</v>
      </c>
      <c r="J22" s="282">
        <v>96.7</v>
      </c>
      <c r="K22" s="282">
        <v>98.5</v>
      </c>
      <c r="L22" s="282">
        <v>27.7</v>
      </c>
      <c r="M22" s="282">
        <v>98</v>
      </c>
      <c r="N22" s="282">
        <v>98.8</v>
      </c>
      <c r="O22" s="282">
        <v>97.6</v>
      </c>
      <c r="P22" s="281">
        <v>98.9</v>
      </c>
      <c r="Q22" s="282">
        <v>100.2</v>
      </c>
      <c r="R22" s="282">
        <v>98</v>
      </c>
      <c r="S22" s="282">
        <v>28.9</v>
      </c>
      <c r="T22" s="282">
        <v>99.1</v>
      </c>
      <c r="U22" s="282">
        <v>98.5</v>
      </c>
      <c r="V22" s="284">
        <v>98.7</v>
      </c>
      <c r="W22" s="538">
        <f t="shared" si="0"/>
        <v>1823.0000000000002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93</v>
      </c>
      <c r="C23" s="282">
        <v>93.3</v>
      </c>
      <c r="D23" s="282">
        <v>91.9</v>
      </c>
      <c r="E23" s="282">
        <v>26.2</v>
      </c>
      <c r="F23" s="282">
        <v>94.5</v>
      </c>
      <c r="G23" s="282">
        <v>92.7</v>
      </c>
      <c r="H23" s="284">
        <v>93.9</v>
      </c>
      <c r="I23" s="285">
        <v>97.9</v>
      </c>
      <c r="J23" s="282">
        <v>96.7</v>
      </c>
      <c r="K23" s="282">
        <v>98.5</v>
      </c>
      <c r="L23" s="282">
        <v>27.8</v>
      </c>
      <c r="M23" s="282">
        <v>98</v>
      </c>
      <c r="N23" s="282">
        <v>98.8</v>
      </c>
      <c r="O23" s="282">
        <v>97.8</v>
      </c>
      <c r="P23" s="281">
        <v>98.9</v>
      </c>
      <c r="Q23" s="282">
        <v>100.3</v>
      </c>
      <c r="R23" s="282">
        <v>98</v>
      </c>
      <c r="S23" s="282">
        <v>28.9</v>
      </c>
      <c r="T23" s="282">
        <v>99.2</v>
      </c>
      <c r="U23" s="282">
        <v>98.4</v>
      </c>
      <c r="V23" s="284">
        <v>98.8</v>
      </c>
      <c r="W23" s="538">
        <f t="shared" si="0"/>
        <v>1823.5000000000002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93.4</v>
      </c>
      <c r="D24" s="282">
        <v>91.8</v>
      </c>
      <c r="E24" s="282">
        <v>26.2</v>
      </c>
      <c r="F24" s="282">
        <v>94.6</v>
      </c>
      <c r="G24" s="282">
        <v>92.7</v>
      </c>
      <c r="H24" s="284">
        <v>93.9</v>
      </c>
      <c r="I24" s="285">
        <v>96.9</v>
      </c>
      <c r="J24" s="282">
        <v>96.7</v>
      </c>
      <c r="K24" s="282">
        <v>98.5</v>
      </c>
      <c r="L24" s="282">
        <v>26.7</v>
      </c>
      <c r="M24" s="282">
        <v>95.9</v>
      </c>
      <c r="N24" s="282">
        <v>98.8</v>
      </c>
      <c r="O24" s="282">
        <v>97.7</v>
      </c>
      <c r="P24" s="281">
        <v>98.9</v>
      </c>
      <c r="Q24" s="282">
        <v>100.3</v>
      </c>
      <c r="R24" s="282">
        <v>98.1</v>
      </c>
      <c r="S24" s="282">
        <v>29</v>
      </c>
      <c r="T24" s="282">
        <v>99.3</v>
      </c>
      <c r="U24" s="282">
        <v>98.4</v>
      </c>
      <c r="V24" s="284">
        <v>97.6</v>
      </c>
      <c r="W24" s="538">
        <f t="shared" si="0"/>
        <v>1817.3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652.1</v>
      </c>
      <c r="C25" s="120">
        <f>SUM(C18:C24)</f>
        <v>654.4</v>
      </c>
      <c r="D25" s="120">
        <f t="shared" ref="D25:V25" si="1">SUM(D18:D24)</f>
        <v>644.19999999999993</v>
      </c>
      <c r="E25" s="120">
        <f>SUM(E18:E24)</f>
        <v>180.59999999999997</v>
      </c>
      <c r="F25" s="120">
        <f t="shared" si="1"/>
        <v>661.2</v>
      </c>
      <c r="G25" s="120">
        <f t="shared" si="1"/>
        <v>647.6</v>
      </c>
      <c r="H25" s="121">
        <f t="shared" si="1"/>
        <v>658.9</v>
      </c>
      <c r="I25" s="122">
        <f t="shared" si="1"/>
        <v>685.09999999999991</v>
      </c>
      <c r="J25" s="120">
        <f t="shared" si="1"/>
        <v>678.30000000000007</v>
      </c>
      <c r="K25" s="120">
        <f t="shared" si="1"/>
        <v>690.7</v>
      </c>
      <c r="L25" s="120">
        <f t="shared" si="1"/>
        <v>195.39999999999998</v>
      </c>
      <c r="M25" s="120">
        <f t="shared" si="1"/>
        <v>685.1</v>
      </c>
      <c r="N25" s="120">
        <f t="shared" si="1"/>
        <v>692.99999999999989</v>
      </c>
      <c r="O25" s="121">
        <f t="shared" si="1"/>
        <v>687.3</v>
      </c>
      <c r="P25" s="122">
        <f t="shared" si="1"/>
        <v>692.99999999999989</v>
      </c>
      <c r="Q25" s="120">
        <f t="shared" si="1"/>
        <v>703.19999999999993</v>
      </c>
      <c r="R25" s="120">
        <f t="shared" si="1"/>
        <v>685.1</v>
      </c>
      <c r="S25" s="120">
        <f>SUM(S18:S24)</f>
        <v>202.2</v>
      </c>
      <c r="T25" s="120">
        <f t="shared" si="1"/>
        <v>693</v>
      </c>
      <c r="U25" s="120">
        <f t="shared" si="1"/>
        <v>690.69999999999993</v>
      </c>
      <c r="V25" s="121">
        <f t="shared" si="1"/>
        <v>690.7</v>
      </c>
      <c r="W25" s="361">
        <f>SUM(W18:W24)</f>
        <v>12771.8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162.30000000000001</v>
      </c>
      <c r="C26" s="487">
        <v>162.30000000000001</v>
      </c>
      <c r="D26" s="487">
        <v>162.30000000000001</v>
      </c>
      <c r="E26" s="487">
        <v>162.30000000000001</v>
      </c>
      <c r="F26" s="487">
        <v>162.30000000000001</v>
      </c>
      <c r="G26" s="487">
        <v>162.30000000000001</v>
      </c>
      <c r="H26" s="487">
        <v>162.30000000000001</v>
      </c>
      <c r="I26" s="487">
        <v>162.30000000000001</v>
      </c>
      <c r="J26" s="487">
        <v>162.30000000000001</v>
      </c>
      <c r="K26" s="487">
        <v>162.30000000000001</v>
      </c>
      <c r="L26" s="487">
        <v>162.30000000000001</v>
      </c>
      <c r="M26" s="487">
        <v>162.30000000000001</v>
      </c>
      <c r="N26" s="487">
        <v>162.30000000000001</v>
      </c>
      <c r="O26" s="487">
        <v>162.30000000000001</v>
      </c>
      <c r="P26" s="487">
        <v>162.30000000000001</v>
      </c>
      <c r="Q26" s="487">
        <v>162.30000000000001</v>
      </c>
      <c r="R26" s="487">
        <v>162.30000000000001</v>
      </c>
      <c r="S26" s="487">
        <v>162.30000000000001</v>
      </c>
      <c r="T26" s="487">
        <v>162.30000000000001</v>
      </c>
      <c r="U26" s="487">
        <v>162.30000000000001</v>
      </c>
      <c r="V26" s="487">
        <v>162.30000000000001</v>
      </c>
      <c r="W26" s="99">
        <f>((W25/W27)/7)*1000</f>
        <v>162.39811812575496</v>
      </c>
    </row>
    <row r="27" spans="1:31" s="2" customFormat="1" ht="33" customHeight="1" x14ac:dyDescent="0.25">
      <c r="A27" s="149" t="s">
        <v>12</v>
      </c>
      <c r="B27" s="26">
        <v>573</v>
      </c>
      <c r="C27" s="27">
        <v>576</v>
      </c>
      <c r="D27" s="27">
        <v>567</v>
      </c>
      <c r="E27" s="27">
        <v>158</v>
      </c>
      <c r="F27" s="27">
        <v>581</v>
      </c>
      <c r="G27" s="27">
        <v>570</v>
      </c>
      <c r="H27" s="28">
        <v>580</v>
      </c>
      <c r="I27" s="26">
        <v>603</v>
      </c>
      <c r="J27" s="27">
        <v>597</v>
      </c>
      <c r="K27" s="27">
        <v>607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618</v>
      </c>
      <c r="R27" s="27">
        <v>603</v>
      </c>
      <c r="S27" s="27">
        <v>178</v>
      </c>
      <c r="T27" s="27">
        <v>610</v>
      </c>
      <c r="U27" s="27">
        <v>607</v>
      </c>
      <c r="V27" s="28">
        <v>608</v>
      </c>
      <c r="W27" s="29">
        <f>SUM(B27:V27)</f>
        <v>11235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92.677060000000012</v>
      </c>
      <c r="C28" s="30">
        <f t="shared" ref="C28:V28" si="2">(((((C26*7)*C27)/1000)-(C18+C19))/5)</f>
        <v>93.318720000000013</v>
      </c>
      <c r="D28" s="30">
        <f t="shared" si="2"/>
        <v>91.993740000000017</v>
      </c>
      <c r="E28" s="30">
        <f t="shared" si="2"/>
        <v>25.940760000000001</v>
      </c>
      <c r="F28" s="30">
        <f t="shared" si="2"/>
        <v>94.294820000000001</v>
      </c>
      <c r="G28" s="30">
        <f t="shared" si="2"/>
        <v>92.675400000000025</v>
      </c>
      <c r="H28" s="30">
        <f t="shared" si="2"/>
        <v>93.86760000000001</v>
      </c>
      <c r="I28" s="30">
        <f t="shared" si="2"/>
        <v>97.693659999999994</v>
      </c>
      <c r="J28" s="30">
        <f t="shared" si="2"/>
        <v>96.690340000000006</v>
      </c>
      <c r="K28" s="30">
        <f t="shared" si="2"/>
        <v>98.282540000000012</v>
      </c>
      <c r="L28" s="30">
        <f t="shared" si="2"/>
        <v>27.454620000000006</v>
      </c>
      <c r="M28" s="30">
        <f t="shared" si="2"/>
        <v>97.573660000000004</v>
      </c>
      <c r="N28" s="30">
        <f t="shared" si="2"/>
        <v>98.764200000000017</v>
      </c>
      <c r="O28" s="30">
        <f t="shared" si="2"/>
        <v>97.828100000000035</v>
      </c>
      <c r="P28" s="30">
        <f t="shared" si="2"/>
        <v>98.884200000000007</v>
      </c>
      <c r="Q28" s="30">
        <f t="shared" si="2"/>
        <v>100.02196000000001</v>
      </c>
      <c r="R28" s="30">
        <f t="shared" si="2"/>
        <v>98.013660000000002</v>
      </c>
      <c r="S28" s="30">
        <f t="shared" si="2"/>
        <v>29.085160000000009</v>
      </c>
      <c r="T28" s="30">
        <f t="shared" si="2"/>
        <v>99.324200000000019</v>
      </c>
      <c r="U28" s="30">
        <f t="shared" si="2"/>
        <v>98.242540000000005</v>
      </c>
      <c r="V28" s="30">
        <f t="shared" si="2"/>
        <v>98.38976000000001</v>
      </c>
      <c r="W28" s="362">
        <f>((W25*1000)/7)/W27</f>
        <v>162.39811812575496</v>
      </c>
    </row>
    <row r="29" spans="1:31" ht="33.75" customHeight="1" x14ac:dyDescent="0.25">
      <c r="A29" s="151" t="s">
        <v>14</v>
      </c>
      <c r="B29" s="281">
        <f>((B27*B26)*7)/1000</f>
        <v>650.98530000000005</v>
      </c>
      <c r="C29" s="282">
        <f>((C27*C26)*7)/1000</f>
        <v>654.39359999999999</v>
      </c>
      <c r="D29" s="282">
        <f t="shared" ref="D29:V29" si="3">((D27*D26)*7)/1000</f>
        <v>644.16870000000006</v>
      </c>
      <c r="E29" s="282">
        <f t="shared" si="3"/>
        <v>179.50380000000001</v>
      </c>
      <c r="F29" s="282">
        <f t="shared" si="3"/>
        <v>660.07409999999993</v>
      </c>
      <c r="G29" s="282">
        <f t="shared" si="3"/>
        <v>647.577</v>
      </c>
      <c r="H29" s="284">
        <f t="shared" si="3"/>
        <v>658.93799999999999</v>
      </c>
      <c r="I29" s="281">
        <f t="shared" si="3"/>
        <v>685.06830000000002</v>
      </c>
      <c r="J29" s="282">
        <f t="shared" si="3"/>
        <v>678.25170000000003</v>
      </c>
      <c r="K29" s="282">
        <f t="shared" si="3"/>
        <v>689.61270000000002</v>
      </c>
      <c r="L29" s="282">
        <f t="shared" si="3"/>
        <v>194.27310000000003</v>
      </c>
      <c r="M29" s="282">
        <f t="shared" si="3"/>
        <v>685.06830000000002</v>
      </c>
      <c r="N29" s="282">
        <f t="shared" si="3"/>
        <v>693.02099999999996</v>
      </c>
      <c r="O29" s="284">
        <f t="shared" si="3"/>
        <v>687.34050000000002</v>
      </c>
      <c r="P29" s="281">
        <f t="shared" si="3"/>
        <v>693.02099999999996</v>
      </c>
      <c r="Q29" s="282">
        <f t="shared" si="3"/>
        <v>702.10980000000006</v>
      </c>
      <c r="R29" s="282">
        <f t="shared" si="3"/>
        <v>685.06830000000002</v>
      </c>
      <c r="S29" s="282">
        <f t="shared" si="3"/>
        <v>202.22580000000002</v>
      </c>
      <c r="T29" s="282">
        <f t="shared" si="3"/>
        <v>693.02099999999996</v>
      </c>
      <c r="U29" s="282">
        <f t="shared" si="3"/>
        <v>689.61270000000002</v>
      </c>
      <c r="V29" s="284">
        <f t="shared" si="3"/>
        <v>690.74880000000007</v>
      </c>
      <c r="W29" s="36"/>
    </row>
    <row r="30" spans="1:31" ht="33.75" customHeight="1" thickBot="1" x14ac:dyDescent="0.3">
      <c r="A30" s="541" t="s">
        <v>15</v>
      </c>
      <c r="B30" s="37">
        <f>+(B25/B27)/7*1000</f>
        <v>162.57791074545</v>
      </c>
      <c r="C30" s="38">
        <f t="shared" ref="C30:V30" si="4">+(C25/C27)/7*1000</f>
        <v>162.30158730158732</v>
      </c>
      <c r="D30" s="38">
        <f t="shared" si="4"/>
        <v>162.30788611740991</v>
      </c>
      <c r="E30" s="38">
        <f t="shared" si="4"/>
        <v>163.29113924050631</v>
      </c>
      <c r="F30" s="38">
        <f t="shared" si="4"/>
        <v>162.57683796410129</v>
      </c>
      <c r="G30" s="38">
        <f t="shared" si="4"/>
        <v>162.30576441102755</v>
      </c>
      <c r="H30" s="39">
        <f t="shared" si="4"/>
        <v>162.29064039408865</v>
      </c>
      <c r="I30" s="37">
        <f t="shared" si="4"/>
        <v>162.30751006870409</v>
      </c>
      <c r="J30" s="38">
        <f t="shared" si="4"/>
        <v>162.31155778894473</v>
      </c>
      <c r="K30" s="38">
        <f t="shared" si="4"/>
        <v>162.55589550482469</v>
      </c>
      <c r="L30" s="38">
        <f t="shared" si="4"/>
        <v>163.24143692564743</v>
      </c>
      <c r="M30" s="38">
        <f t="shared" si="4"/>
        <v>162.30751006870412</v>
      </c>
      <c r="N30" s="38">
        <f t="shared" si="4"/>
        <v>162.29508196721309</v>
      </c>
      <c r="O30" s="39">
        <f t="shared" si="4"/>
        <v>162.29043683589137</v>
      </c>
      <c r="P30" s="37">
        <f t="shared" si="4"/>
        <v>162.29508196721309</v>
      </c>
      <c r="Q30" s="38">
        <f t="shared" si="4"/>
        <v>162.55201109570038</v>
      </c>
      <c r="R30" s="38">
        <f t="shared" si="4"/>
        <v>162.30751006870412</v>
      </c>
      <c r="S30" s="38">
        <f t="shared" si="4"/>
        <v>162.2792937399679</v>
      </c>
      <c r="T30" s="38">
        <f t="shared" si="4"/>
        <v>162.29508196721312</v>
      </c>
      <c r="U30" s="38">
        <f t="shared" si="4"/>
        <v>162.55589550482466</v>
      </c>
      <c r="V30" s="39">
        <f t="shared" si="4"/>
        <v>162.2885338345865</v>
      </c>
      <c r="W30" s="40"/>
    </row>
    <row r="31" spans="1:31" ht="33.75" customHeight="1" x14ac:dyDescent="0.25">
      <c r="A31" s="41"/>
      <c r="B31" s="42">
        <f>B29-B25</f>
        <v>-1.1146999999999707</v>
      </c>
      <c r="C31" s="42">
        <f t="shared" ref="C31:V32" si="5">C29-C25</f>
        <v>-6.3999999999850843E-3</v>
      </c>
      <c r="D31" s="42">
        <f t="shared" si="5"/>
        <v>-3.1299999999873762E-2</v>
      </c>
      <c r="E31" s="42">
        <f t="shared" si="5"/>
        <v>-1.0961999999999534</v>
      </c>
      <c r="F31" s="42">
        <f t="shared" si="5"/>
        <v>-1.1259000000001151</v>
      </c>
      <c r="G31" s="42">
        <f t="shared" si="5"/>
        <v>-2.3000000000024556E-2</v>
      </c>
      <c r="H31" s="42">
        <f t="shared" si="5"/>
        <v>3.8000000000010914E-2</v>
      </c>
      <c r="I31" s="42">
        <f t="shared" si="5"/>
        <v>-3.1699999999887041E-2</v>
      </c>
      <c r="J31" s="42">
        <f t="shared" si="5"/>
        <v>-4.83000000000402E-2</v>
      </c>
      <c r="K31" s="42">
        <f t="shared" si="5"/>
        <v>-1.0873000000000275</v>
      </c>
      <c r="L31" s="42">
        <f t="shared" si="5"/>
        <v>-1.1268999999999494</v>
      </c>
      <c r="M31" s="42">
        <f t="shared" si="5"/>
        <v>-3.1700000000000728E-2</v>
      </c>
      <c r="N31" s="42">
        <f t="shared" si="5"/>
        <v>2.100000000007185E-2</v>
      </c>
      <c r="O31" s="42">
        <f t="shared" si="5"/>
        <v>4.0500000000065484E-2</v>
      </c>
      <c r="P31" s="42">
        <f t="shared" si="5"/>
        <v>2.100000000007185E-2</v>
      </c>
      <c r="Q31" s="42">
        <f t="shared" si="5"/>
        <v>-1.0901999999998679</v>
      </c>
      <c r="R31" s="42">
        <f t="shared" si="5"/>
        <v>-3.1700000000000728E-2</v>
      </c>
      <c r="S31" s="42">
        <f t="shared" si="5"/>
        <v>2.5800000000032242E-2</v>
      </c>
      <c r="T31" s="42">
        <f t="shared" si="5"/>
        <v>2.0999999999958163E-2</v>
      </c>
      <c r="U31" s="42">
        <f t="shared" si="5"/>
        <v>-1.0872999999999138</v>
      </c>
      <c r="V31" s="42">
        <f t="shared" si="5"/>
        <v>4.8800000000028376E-2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0.27791074544998651</v>
      </c>
      <c r="C32" s="42">
        <f t="shared" si="5"/>
        <v>1.5873015873069107E-3</v>
      </c>
      <c r="D32" s="42">
        <f t="shared" si="5"/>
        <v>7.8861174098960873E-3</v>
      </c>
      <c r="E32" s="42">
        <f t="shared" si="5"/>
        <v>0.99113924050629976</v>
      </c>
      <c r="F32" s="42">
        <f t="shared" si="5"/>
        <v>0.2768379641012757</v>
      </c>
      <c r="G32" s="42">
        <f t="shared" si="5"/>
        <v>5.7644110275418825E-3</v>
      </c>
      <c r="H32" s="42">
        <f t="shared" si="5"/>
        <v>-9.3596059113565389E-3</v>
      </c>
      <c r="I32" s="42">
        <f t="shared" si="5"/>
        <v>7.5100687040787761E-3</v>
      </c>
      <c r="J32" s="42">
        <f t="shared" si="5"/>
        <v>1.155778894471382E-2</v>
      </c>
      <c r="K32" s="42">
        <f t="shared" si="5"/>
        <v>0.25589550482467871</v>
      </c>
      <c r="L32" s="42">
        <f t="shared" si="5"/>
        <v>0.9414369256474231</v>
      </c>
      <c r="M32" s="42">
        <f t="shared" si="5"/>
        <v>7.5100687041071978E-3</v>
      </c>
      <c r="N32" s="42">
        <f t="shared" si="5"/>
        <v>-4.9180327869180473E-3</v>
      </c>
      <c r="O32" s="42">
        <f t="shared" si="5"/>
        <v>-9.563164108641331E-3</v>
      </c>
      <c r="P32" s="42">
        <f t="shared" si="5"/>
        <v>-4.9180327869180473E-3</v>
      </c>
      <c r="Q32" s="42">
        <f>Q30-Q26</f>
        <v>0.25201109570036806</v>
      </c>
      <c r="R32" s="42">
        <f t="shared" si="5"/>
        <v>7.5100687041071978E-3</v>
      </c>
      <c r="S32" s="42">
        <f t="shared" si="5"/>
        <v>-2.0706260032113732E-2</v>
      </c>
      <c r="T32" s="42">
        <f t="shared" si="5"/>
        <v>-4.9180327868896256E-3</v>
      </c>
      <c r="U32" s="42">
        <f t="shared" si="5"/>
        <v>0.25589550482465029</v>
      </c>
      <c r="V32" s="42">
        <f t="shared" si="5"/>
        <v>-1.1466165413509088E-2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91.5</v>
      </c>
      <c r="C39" s="497">
        <v>88.7</v>
      </c>
      <c r="D39" s="497">
        <v>20.2</v>
      </c>
      <c r="E39" s="497">
        <v>90.4</v>
      </c>
      <c r="F39" s="497">
        <v>88.2</v>
      </c>
      <c r="G39" s="498">
        <v>92.6</v>
      </c>
      <c r="H39" s="540">
        <f t="shared" ref="H39:H46" si="6">SUM(B39:G39)</f>
        <v>471.59999999999991</v>
      </c>
      <c r="I39" s="49"/>
      <c r="J39" s="42"/>
      <c r="K39" s="42"/>
      <c r="L39" s="42"/>
      <c r="M39" s="2"/>
      <c r="N39" s="146" t="s">
        <v>51</v>
      </c>
      <c r="O39" s="18">
        <v>6.4</v>
      </c>
      <c r="P39" s="19">
        <v>7</v>
      </c>
      <c r="Q39" s="19">
        <v>1.5</v>
      </c>
      <c r="R39" s="19">
        <v>6.6</v>
      </c>
      <c r="S39" s="19">
        <v>7.4</v>
      </c>
      <c r="T39" s="19">
        <v>7.4</v>
      </c>
      <c r="U39" s="540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91.5</v>
      </c>
      <c r="C40" s="497">
        <v>88.7</v>
      </c>
      <c r="D40" s="497">
        <v>20.2</v>
      </c>
      <c r="E40" s="497">
        <v>90.4</v>
      </c>
      <c r="F40" s="497">
        <v>88.2</v>
      </c>
      <c r="G40" s="498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18">
        <v>6.4</v>
      </c>
      <c r="P40" s="19">
        <v>7</v>
      </c>
      <c r="Q40" s="19">
        <v>1.5</v>
      </c>
      <c r="R40" s="19">
        <v>6.6</v>
      </c>
      <c r="S40" s="19">
        <v>7.4</v>
      </c>
      <c r="T40" s="19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89.8</v>
      </c>
      <c r="C41" s="282">
        <v>92.2</v>
      </c>
      <c r="D41" s="282">
        <v>23</v>
      </c>
      <c r="E41" s="282">
        <v>94</v>
      </c>
      <c r="F41" s="282">
        <v>92.7</v>
      </c>
      <c r="G41" s="284">
        <v>94</v>
      </c>
      <c r="H41" s="539">
        <f t="shared" si="6"/>
        <v>485.7</v>
      </c>
      <c r="I41" s="49"/>
      <c r="J41" s="196"/>
      <c r="K41" s="196"/>
      <c r="L41" s="196"/>
      <c r="M41" s="2"/>
      <c r="N41" s="146" t="s">
        <v>20</v>
      </c>
      <c r="O41" s="18">
        <v>6.4</v>
      </c>
      <c r="P41" s="19">
        <v>7</v>
      </c>
      <c r="Q41" s="19">
        <v>1.5</v>
      </c>
      <c r="R41" s="19">
        <v>6.6</v>
      </c>
      <c r="S41" s="19">
        <v>7.4</v>
      </c>
      <c r="T41" s="19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89.8</v>
      </c>
      <c r="C42" s="282">
        <v>92.3</v>
      </c>
      <c r="D42" s="282">
        <v>23</v>
      </c>
      <c r="E42" s="282">
        <v>94</v>
      </c>
      <c r="F42" s="282">
        <v>92.7</v>
      </c>
      <c r="G42" s="284">
        <v>94</v>
      </c>
      <c r="H42" s="539">
        <f t="shared" si="6"/>
        <v>485.8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6.7</v>
      </c>
      <c r="Q42" s="282">
        <v>1.2</v>
      </c>
      <c r="R42" s="282">
        <v>6.6</v>
      </c>
      <c r="S42" s="282">
        <v>7.4</v>
      </c>
      <c r="T42" s="282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89.5</v>
      </c>
      <c r="C43" s="282">
        <v>91.9</v>
      </c>
      <c r="D43" s="282">
        <v>23</v>
      </c>
      <c r="E43" s="282">
        <v>94</v>
      </c>
      <c r="F43" s="282">
        <v>92.7</v>
      </c>
      <c r="G43" s="284">
        <v>93.3</v>
      </c>
      <c r="H43" s="539">
        <f t="shared" si="6"/>
        <v>484.4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6.7</v>
      </c>
      <c r="Q43" s="282">
        <v>1.3</v>
      </c>
      <c r="R43" s="282">
        <v>6.6</v>
      </c>
      <c r="S43" s="282">
        <v>7.4</v>
      </c>
      <c r="T43" s="282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89.5</v>
      </c>
      <c r="C44" s="282">
        <v>91.9</v>
      </c>
      <c r="D44" s="282">
        <v>23</v>
      </c>
      <c r="E44" s="282">
        <v>94.1</v>
      </c>
      <c r="F44" s="282">
        <v>92.7</v>
      </c>
      <c r="G44" s="284">
        <v>93.3</v>
      </c>
      <c r="H44" s="539">
        <f t="shared" si="6"/>
        <v>484.5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6.8</v>
      </c>
      <c r="Q44" s="282">
        <v>1.3</v>
      </c>
      <c r="R44" s="282">
        <v>6.6</v>
      </c>
      <c r="S44" s="282">
        <v>7.4</v>
      </c>
      <c r="T44" s="282">
        <v>7.3</v>
      </c>
      <c r="U44" s="539">
        <f t="shared" si="7"/>
        <v>35.999999999999993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92</v>
      </c>
      <c r="D45" s="282">
        <v>19.8</v>
      </c>
      <c r="E45" s="282">
        <v>91.9</v>
      </c>
      <c r="F45" s="282">
        <v>92.7</v>
      </c>
      <c r="G45" s="284">
        <v>91.2</v>
      </c>
      <c r="H45" s="562">
        <f t="shared" si="6"/>
        <v>475.9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5.7</v>
      </c>
      <c r="Q45" s="282">
        <v>1.3</v>
      </c>
      <c r="R45" s="282">
        <v>6.6</v>
      </c>
      <c r="S45" s="282">
        <v>7.4</v>
      </c>
      <c r="T45" s="282">
        <v>7.3</v>
      </c>
      <c r="U45" s="539">
        <f t="shared" si="7"/>
        <v>34.9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629.9</v>
      </c>
      <c r="C46" s="120">
        <f t="shared" si="8"/>
        <v>637.70000000000005</v>
      </c>
      <c r="D46" s="120">
        <f t="shared" si="8"/>
        <v>152.20000000000002</v>
      </c>
      <c r="E46" s="120">
        <f t="shared" si="8"/>
        <v>648.79999999999995</v>
      </c>
      <c r="F46" s="120">
        <f t="shared" si="8"/>
        <v>639.90000000000009</v>
      </c>
      <c r="G46" s="121">
        <f t="shared" si="8"/>
        <v>651</v>
      </c>
      <c r="H46" s="560">
        <f t="shared" si="6"/>
        <v>3359.5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45.400000000000006</v>
      </c>
      <c r="P46" s="120">
        <f t="shared" si="9"/>
        <v>46.9</v>
      </c>
      <c r="Q46" s="120">
        <f t="shared" si="9"/>
        <v>9.6000000000000014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251.30000000000004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555">
        <v>158.69999999999999</v>
      </c>
      <c r="D47" s="555">
        <v>158.69999999999999</v>
      </c>
      <c r="E47" s="555">
        <v>158.69999999999999</v>
      </c>
      <c r="F47" s="555">
        <v>158.69999999999999</v>
      </c>
      <c r="G47" s="555">
        <v>158.69999999999999</v>
      </c>
      <c r="H47" s="234">
        <f>+((H46/H48)/7)*1000</f>
        <v>159.28595135365796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150.20920502092054</v>
      </c>
      <c r="V47" s="50"/>
    </row>
    <row r="48" spans="1:31" ht="33.75" customHeight="1" x14ac:dyDescent="0.25">
      <c r="A48" s="149" t="s">
        <v>12</v>
      </c>
      <c r="B48" s="26">
        <v>565</v>
      </c>
      <c r="C48" s="27">
        <v>573</v>
      </c>
      <c r="D48" s="27">
        <v>133</v>
      </c>
      <c r="E48" s="27">
        <v>582</v>
      </c>
      <c r="F48" s="27">
        <v>574</v>
      </c>
      <c r="G48" s="28">
        <v>586</v>
      </c>
      <c r="H48" s="256">
        <f>SUM(B48:G48)</f>
        <v>3013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45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239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88.931699999999978</v>
      </c>
      <c r="C49" s="30">
        <f t="shared" ref="C49:G49" si="10">(((((C47*7)*C48)/1000)-(C39+C40))/5)</f>
        <v>91.829139999999981</v>
      </c>
      <c r="D49" s="30">
        <f t="shared" si="10"/>
        <v>21.469939999999998</v>
      </c>
      <c r="E49" s="30">
        <f t="shared" si="10"/>
        <v>93.148759999999982</v>
      </c>
      <c r="F49" s="30">
        <f t="shared" si="10"/>
        <v>92.251320000000007</v>
      </c>
      <c r="G49" s="30">
        <f t="shared" si="10"/>
        <v>93.157479999999978</v>
      </c>
      <c r="H49" s="257">
        <f>((H46*1000)/H48)/7</f>
        <v>159.28595135365796</v>
      </c>
      <c r="I49" s="54"/>
      <c r="J49" s="54"/>
      <c r="K49" s="41"/>
      <c r="L49" s="49"/>
      <c r="N49" s="150" t="s">
        <v>13</v>
      </c>
      <c r="O49" s="30">
        <f>((((O47*7)*O48)/1000)-(O39+O40+O41))/4</f>
        <v>6.5574999999999992</v>
      </c>
      <c r="P49" s="30">
        <f t="shared" ref="P49:T49" si="11">((((P47*7)*P48)/1000)-(P39+P40+P41))/4</f>
        <v>6.4837500000000006</v>
      </c>
      <c r="Q49" s="30">
        <f t="shared" si="11"/>
        <v>1.2690000000000001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7.3019999999999996</v>
      </c>
      <c r="U49" s="253">
        <f>((U46*1000)/U48)/7</f>
        <v>150.20920502092054</v>
      </c>
      <c r="V49" s="192"/>
    </row>
    <row r="50" spans="1:30" ht="33.75" customHeight="1" x14ac:dyDescent="0.25">
      <c r="A50" s="151" t="s">
        <v>14</v>
      </c>
      <c r="B50" s="281">
        <f>((B48*B47)*7)/1000</f>
        <v>627.6585</v>
      </c>
      <c r="C50" s="282">
        <f t="shared" ref="C50:G50" si="12">((C48*C47)*7)/1000</f>
        <v>636.5456999999999</v>
      </c>
      <c r="D50" s="282">
        <f t="shared" si="12"/>
        <v>147.74969999999999</v>
      </c>
      <c r="E50" s="282">
        <f t="shared" si="12"/>
        <v>646.54379999999992</v>
      </c>
      <c r="F50" s="282">
        <f t="shared" si="12"/>
        <v>637.65659999999991</v>
      </c>
      <c r="G50" s="284">
        <f t="shared" si="12"/>
        <v>650.98739999999998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46.935000000000002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159.26675094816687</v>
      </c>
      <c r="C51" s="38">
        <f t="shared" si="14"/>
        <v>158.98778359511346</v>
      </c>
      <c r="D51" s="38">
        <f t="shared" si="14"/>
        <v>163.48012889366274</v>
      </c>
      <c r="E51" s="38">
        <f t="shared" si="14"/>
        <v>159.25380461462933</v>
      </c>
      <c r="F51" s="38">
        <f t="shared" si="14"/>
        <v>159.25833748133402</v>
      </c>
      <c r="G51" s="39">
        <f t="shared" si="14"/>
        <v>158.70307167235495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147.40259740259742</v>
      </c>
      <c r="P51" s="38">
        <f t="shared" si="15"/>
        <v>148.88888888888889</v>
      </c>
      <c r="Q51" s="38">
        <f t="shared" si="15"/>
        <v>152.38095238095244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-2.2414999999999736</v>
      </c>
      <c r="C52" s="42">
        <f t="shared" ref="C52:G53" si="16">C50-C46</f>
        <v>-1.1543000000001484</v>
      </c>
      <c r="D52" s="42">
        <f t="shared" si="16"/>
        <v>-4.450300000000027</v>
      </c>
      <c r="E52" s="42">
        <f t="shared" si="16"/>
        <v>-2.2562000000000353</v>
      </c>
      <c r="F52" s="42">
        <f t="shared" si="16"/>
        <v>-2.2434000000001788</v>
      </c>
      <c r="G52" s="42">
        <f t="shared" si="16"/>
        <v>-1.2600000000020373E-2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2.9999999999994031E-2</v>
      </c>
      <c r="P52" s="42">
        <f t="shared" si="17"/>
        <v>3.5000000000003695E-2</v>
      </c>
      <c r="Q52" s="42">
        <f t="shared" si="17"/>
        <v>-2.4000000000000909E-2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0.56675094816688443</v>
      </c>
      <c r="C53" s="42">
        <f t="shared" si="16"/>
        <v>0.28778359511346707</v>
      </c>
      <c r="D53" s="42">
        <f t="shared" si="16"/>
        <v>4.7801288936627486</v>
      </c>
      <c r="E53" s="42">
        <f t="shared" si="16"/>
        <v>0.5538046146293425</v>
      </c>
      <c r="F53" s="42">
        <f t="shared" si="16"/>
        <v>0.5583374813340356</v>
      </c>
      <c r="G53" s="42">
        <f t="shared" si="16"/>
        <v>3.0716723549630842E-3</v>
      </c>
      <c r="I53" s="2"/>
      <c r="J53" s="2"/>
      <c r="K53" s="45"/>
      <c r="L53" s="41"/>
      <c r="M53" s="42"/>
      <c r="N53" s="42"/>
      <c r="O53" s="42">
        <f t="shared" si="17"/>
        <v>-9.740259740257784E-2</v>
      </c>
      <c r="P53" s="42">
        <f t="shared" si="17"/>
        <v>-0.11111111111111427</v>
      </c>
      <c r="Q53" s="42">
        <f t="shared" si="17"/>
        <v>0.38095238095243644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61"/>
      <c r="C54" s="1061"/>
      <c r="D54" s="106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7.8</v>
      </c>
      <c r="D60" s="19">
        <v>8</v>
      </c>
      <c r="E60" s="19">
        <v>2.2000000000000002</v>
      </c>
      <c r="F60" s="19">
        <v>7.9</v>
      </c>
      <c r="G60" s="19">
        <v>7.9</v>
      </c>
      <c r="H60" s="104">
        <v>7.8</v>
      </c>
      <c r="I60" s="18">
        <v>8.1999999999999993</v>
      </c>
      <c r="J60" s="19">
        <v>7.8</v>
      </c>
      <c r="K60" s="19">
        <v>8.3000000000000007</v>
      </c>
      <c r="L60" s="267">
        <v>2</v>
      </c>
      <c r="M60" s="267">
        <v>8</v>
      </c>
      <c r="N60" s="19">
        <v>7.7</v>
      </c>
      <c r="O60" s="474">
        <v>8.1999999999999993</v>
      </c>
      <c r="P60" s="281">
        <v>8.1999999999999993</v>
      </c>
      <c r="Q60" s="282">
        <v>7.9</v>
      </c>
      <c r="R60" s="282">
        <v>7.8</v>
      </c>
      <c r="S60" s="282">
        <v>2.1</v>
      </c>
      <c r="T60" s="282">
        <v>8.1</v>
      </c>
      <c r="U60" s="282">
        <v>8.4</v>
      </c>
      <c r="V60" s="283">
        <v>7.8</v>
      </c>
      <c r="W60" s="539">
        <f t="shared" ref="W60:W66" si="18">SUM(B60:V60)</f>
        <v>150.20000000000002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8.1</v>
      </c>
      <c r="C61" s="19">
        <v>7.8</v>
      </c>
      <c r="D61" s="19">
        <v>8</v>
      </c>
      <c r="E61" s="19">
        <v>2.2000000000000002</v>
      </c>
      <c r="F61" s="19">
        <v>7.9</v>
      </c>
      <c r="G61" s="19">
        <v>7.9</v>
      </c>
      <c r="H61" s="104">
        <v>7.8</v>
      </c>
      <c r="I61" s="18">
        <v>8.1999999999999993</v>
      </c>
      <c r="J61" s="19">
        <v>7.8</v>
      </c>
      <c r="K61" s="19">
        <v>8.3000000000000007</v>
      </c>
      <c r="L61" s="267">
        <v>2</v>
      </c>
      <c r="M61" s="267">
        <v>8</v>
      </c>
      <c r="N61" s="19">
        <v>7.7</v>
      </c>
      <c r="O61" s="474">
        <v>8.1999999999999993</v>
      </c>
      <c r="P61" s="281">
        <v>8.1999999999999993</v>
      </c>
      <c r="Q61" s="282">
        <v>7.9</v>
      </c>
      <c r="R61" s="282">
        <v>7.8</v>
      </c>
      <c r="S61" s="282">
        <v>2.1</v>
      </c>
      <c r="T61" s="282">
        <v>8.1</v>
      </c>
      <c r="U61" s="282">
        <v>8.4</v>
      </c>
      <c r="V61" s="283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8.1</v>
      </c>
      <c r="C62" s="19">
        <v>7.8</v>
      </c>
      <c r="D62" s="19">
        <v>8</v>
      </c>
      <c r="E62" s="19">
        <v>2.2000000000000002</v>
      </c>
      <c r="F62" s="19">
        <v>7.9</v>
      </c>
      <c r="G62" s="19">
        <v>7.9</v>
      </c>
      <c r="H62" s="104">
        <v>7.8</v>
      </c>
      <c r="I62" s="18">
        <v>8.1999999999999993</v>
      </c>
      <c r="J62" s="19">
        <v>7.8</v>
      </c>
      <c r="K62" s="19">
        <v>8.3000000000000007</v>
      </c>
      <c r="L62" s="267">
        <v>2</v>
      </c>
      <c r="M62" s="267">
        <v>8</v>
      </c>
      <c r="N62" s="19">
        <v>7.7</v>
      </c>
      <c r="O62" s="474">
        <v>8.1999999999999993</v>
      </c>
      <c r="P62" s="281">
        <v>8.1999999999999993</v>
      </c>
      <c r="Q62" s="282">
        <v>7.9</v>
      </c>
      <c r="R62" s="282">
        <v>7.8</v>
      </c>
      <c r="S62" s="282">
        <v>2.1</v>
      </c>
      <c r="T62" s="282">
        <v>8.1</v>
      </c>
      <c r="U62" s="282">
        <v>8.4</v>
      </c>
      <c r="V62" s="283">
        <v>7.8</v>
      </c>
      <c r="W62" s="539">
        <f t="shared" si="18"/>
        <v>150.20000000000002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7.7</v>
      </c>
      <c r="C63" s="282">
        <v>7.7</v>
      </c>
      <c r="D63" s="282">
        <v>7.8</v>
      </c>
      <c r="E63" s="282">
        <v>2.1</v>
      </c>
      <c r="F63" s="282">
        <v>7.9</v>
      </c>
      <c r="G63" s="282">
        <v>7.4</v>
      </c>
      <c r="H63" s="283">
        <v>7.8</v>
      </c>
      <c r="I63" s="18">
        <v>8.1999999999999993</v>
      </c>
      <c r="J63" s="282">
        <v>7.5</v>
      </c>
      <c r="K63" s="282">
        <v>8.1</v>
      </c>
      <c r="L63" s="561">
        <v>1.7</v>
      </c>
      <c r="M63" s="561">
        <v>8</v>
      </c>
      <c r="N63" s="282">
        <v>7.9</v>
      </c>
      <c r="O63" s="474">
        <v>8</v>
      </c>
      <c r="P63" s="281">
        <v>8.1999999999999993</v>
      </c>
      <c r="Q63" s="282">
        <v>8</v>
      </c>
      <c r="R63" s="282">
        <v>7.8</v>
      </c>
      <c r="S63" s="282">
        <v>2</v>
      </c>
      <c r="T63" s="282">
        <v>7.9</v>
      </c>
      <c r="U63" s="282">
        <v>8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7.7</v>
      </c>
      <c r="C64" s="282">
        <v>7.7</v>
      </c>
      <c r="D64" s="282">
        <v>7.9</v>
      </c>
      <c r="E64" s="282">
        <v>2.1</v>
      </c>
      <c r="F64" s="282">
        <v>7.9</v>
      </c>
      <c r="G64" s="282">
        <v>7.4</v>
      </c>
      <c r="H64" s="283">
        <v>7.8</v>
      </c>
      <c r="I64" s="18">
        <v>8.1999999999999993</v>
      </c>
      <c r="J64" s="282">
        <v>7.2</v>
      </c>
      <c r="K64" s="282">
        <v>8.1</v>
      </c>
      <c r="L64" s="561">
        <v>1.5</v>
      </c>
      <c r="M64" s="561">
        <v>8</v>
      </c>
      <c r="N64" s="282">
        <v>8</v>
      </c>
      <c r="O64" s="474">
        <v>8.1</v>
      </c>
      <c r="P64" s="281">
        <v>7.7</v>
      </c>
      <c r="Q64" s="282">
        <v>8</v>
      </c>
      <c r="R64" s="282">
        <v>7.8</v>
      </c>
      <c r="S64" s="282">
        <v>2</v>
      </c>
      <c r="T64" s="282">
        <v>8</v>
      </c>
      <c r="U64" s="282">
        <v>8</v>
      </c>
      <c r="V64" s="283">
        <v>7.8</v>
      </c>
      <c r="W64" s="539">
        <f t="shared" si="18"/>
        <v>146.9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7.7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7.5</v>
      </c>
      <c r="H65" s="283">
        <v>7.8</v>
      </c>
      <c r="I65" s="18">
        <v>8.1999999999999993</v>
      </c>
      <c r="J65" s="282">
        <v>7.2</v>
      </c>
      <c r="K65" s="282">
        <v>8.1</v>
      </c>
      <c r="L65" s="561">
        <v>1.4</v>
      </c>
      <c r="M65" s="561">
        <v>8.1</v>
      </c>
      <c r="N65" s="282">
        <v>8</v>
      </c>
      <c r="O65" s="474">
        <v>8.1</v>
      </c>
      <c r="P65" s="281">
        <v>7.7</v>
      </c>
      <c r="Q65" s="282">
        <v>8</v>
      </c>
      <c r="R65" s="282">
        <v>7.8</v>
      </c>
      <c r="S65" s="282">
        <v>2</v>
      </c>
      <c r="T65" s="282">
        <v>8</v>
      </c>
      <c r="U65" s="282">
        <v>8</v>
      </c>
      <c r="V65" s="283">
        <v>7.8</v>
      </c>
      <c r="W65" s="539">
        <f t="shared" si="18"/>
        <v>147.1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7.8</v>
      </c>
      <c r="C66" s="282">
        <v>7.7</v>
      </c>
      <c r="D66" s="282">
        <v>7.9</v>
      </c>
      <c r="E66" s="282">
        <v>2.2000000000000002</v>
      </c>
      <c r="F66" s="282">
        <v>7.9</v>
      </c>
      <c r="G66" s="282">
        <v>7.5</v>
      </c>
      <c r="H66" s="283">
        <v>7.8</v>
      </c>
      <c r="I66" s="18">
        <v>8.3000000000000007</v>
      </c>
      <c r="J66" s="282">
        <v>7.1</v>
      </c>
      <c r="K66" s="282">
        <v>8.1</v>
      </c>
      <c r="L66" s="561">
        <v>1.4</v>
      </c>
      <c r="M66" s="561">
        <v>7.1</v>
      </c>
      <c r="N66" s="282">
        <v>8</v>
      </c>
      <c r="O66" s="474">
        <v>8.1</v>
      </c>
      <c r="P66" s="281">
        <v>7.8</v>
      </c>
      <c r="Q66" s="282">
        <v>8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562">
        <f t="shared" si="18"/>
        <v>146.39999999999998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</v>
      </c>
      <c r="H67" s="268">
        <f t="shared" si="19"/>
        <v>54.599999999999994</v>
      </c>
      <c r="I67" s="122">
        <f t="shared" si="19"/>
        <v>57.5</v>
      </c>
      <c r="J67" s="120">
        <f t="shared" si="19"/>
        <v>52.400000000000006</v>
      </c>
      <c r="K67" s="120">
        <f t="shared" si="19"/>
        <v>57.300000000000004</v>
      </c>
      <c r="L67" s="120">
        <f t="shared" si="19"/>
        <v>12</v>
      </c>
      <c r="M67" s="120">
        <f t="shared" si="19"/>
        <v>55.2</v>
      </c>
      <c r="N67" s="120">
        <f t="shared" si="19"/>
        <v>55</v>
      </c>
      <c r="O67" s="121">
        <f t="shared" si="19"/>
        <v>56.9</v>
      </c>
      <c r="P67" s="122">
        <f t="shared" si="19"/>
        <v>56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14.3</v>
      </c>
      <c r="T67" s="120">
        <f t="shared" si="19"/>
        <v>56.199999999999996</v>
      </c>
      <c r="U67" s="120">
        <f t="shared" si="19"/>
        <v>57.300000000000004</v>
      </c>
      <c r="V67" s="121">
        <f t="shared" si="19"/>
        <v>54.599999999999994</v>
      </c>
      <c r="W67" s="263">
        <f>SUM(W60:W66)</f>
        <v>1038.5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155.51063192572624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954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7.714125000000001</v>
      </c>
      <c r="C70" s="358">
        <f t="shared" ref="C70:V70" si="20">((((C68*7)*C69)/1000)-(C60+C61+C62))/4</f>
        <v>7.7125000000000004</v>
      </c>
      <c r="D70" s="358">
        <f t="shared" si="20"/>
        <v>7.8783750000000001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7.452</v>
      </c>
      <c r="H70" s="358">
        <f t="shared" si="20"/>
        <v>7.8000000000000007</v>
      </c>
      <c r="I70" s="358">
        <f t="shared" si="20"/>
        <v>8.2262500000000003</v>
      </c>
      <c r="J70" s="358">
        <f t="shared" si="20"/>
        <v>7.2539999999999996</v>
      </c>
      <c r="K70" s="358">
        <f t="shared" si="20"/>
        <v>8.1048749999999998</v>
      </c>
      <c r="L70" s="358">
        <f t="shared" si="20"/>
        <v>1.2212499999999999</v>
      </c>
      <c r="M70" s="358">
        <f t="shared" si="20"/>
        <v>7.7891250000000003</v>
      </c>
      <c r="N70" s="358">
        <f t="shared" si="20"/>
        <v>7.9695</v>
      </c>
      <c r="O70" s="358">
        <f t="shared" si="20"/>
        <v>7.8185000000000011</v>
      </c>
      <c r="P70" s="358">
        <f t="shared" si="20"/>
        <v>7.8622500000000004</v>
      </c>
      <c r="Q70" s="358">
        <f t="shared" si="20"/>
        <v>7.7249999999999996</v>
      </c>
      <c r="R70" s="358">
        <f t="shared" si="20"/>
        <v>7.8000000000000007</v>
      </c>
      <c r="S70" s="358">
        <f t="shared" si="20"/>
        <v>1.99675</v>
      </c>
      <c r="T70" s="358">
        <f t="shared" si="20"/>
        <v>7.9845000000000006</v>
      </c>
      <c r="U70" s="358">
        <f t="shared" si="20"/>
        <v>8.0298749999999988</v>
      </c>
      <c r="V70" s="358">
        <f t="shared" si="20"/>
        <v>7.8052500000000009</v>
      </c>
      <c r="W70" s="362">
        <f>((W67*1000)/7)/W69</f>
        <v>155.51063192572627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155.97667638483964</v>
      </c>
      <c r="H72" s="158">
        <f t="shared" si="22"/>
        <v>155.99999999999997</v>
      </c>
      <c r="I72" s="37">
        <f t="shared" si="22"/>
        <v>154.98652291105122</v>
      </c>
      <c r="J72" s="38">
        <f t="shared" si="22"/>
        <v>155.95238095238099</v>
      </c>
      <c r="K72" s="38">
        <f t="shared" si="22"/>
        <v>154.44743935309972</v>
      </c>
      <c r="L72" s="38">
        <f t="shared" si="22"/>
        <v>171.42857142857142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156.31868131868129</v>
      </c>
      <c r="P72" s="37">
        <f t="shared" si="22"/>
        <v>156.86274509803926</v>
      </c>
      <c r="Q72" s="38">
        <f t="shared" si="22"/>
        <v>159.14285714285717</v>
      </c>
      <c r="R72" s="38">
        <f t="shared" si="22"/>
        <v>155.99999999999997</v>
      </c>
      <c r="S72" s="38">
        <f t="shared" si="22"/>
        <v>157.14285714285717</v>
      </c>
      <c r="T72" s="38">
        <f t="shared" si="22"/>
        <v>154.39560439560438</v>
      </c>
      <c r="U72" s="38">
        <f t="shared" si="22"/>
        <v>154.44743935309972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8.0000000000026716E-3</v>
      </c>
      <c r="H73" s="42">
        <f t="shared" si="23"/>
        <v>0</v>
      </c>
      <c r="I73" s="42">
        <f t="shared" si="23"/>
        <v>5.000000000002558E-3</v>
      </c>
      <c r="J73" s="42">
        <f t="shared" si="23"/>
        <v>1.5999999999991132E-2</v>
      </c>
      <c r="K73" s="42">
        <f t="shared" si="23"/>
        <v>1.9499999999993634E-2</v>
      </c>
      <c r="L73" s="42">
        <f t="shared" si="23"/>
        <v>-1.1150000000000002</v>
      </c>
      <c r="M73" s="42">
        <f t="shared" si="23"/>
        <v>-4.3500000000001648E-2</v>
      </c>
      <c r="N73" s="42">
        <f t="shared" si="23"/>
        <v>-2.1999999999998465E-2</v>
      </c>
      <c r="O73" s="42">
        <f t="shared" si="23"/>
        <v>-1.0259999999999962</v>
      </c>
      <c r="P73" s="42">
        <f t="shared" si="23"/>
        <v>4.8999999999999488E-2</v>
      </c>
      <c r="Q73" s="42">
        <f t="shared" si="23"/>
        <v>-1.1000000000000014</v>
      </c>
      <c r="R73" s="42">
        <f t="shared" si="23"/>
        <v>0</v>
      </c>
      <c r="S73" s="42">
        <f t="shared" si="23"/>
        <v>-1.2999999999999901E-2</v>
      </c>
      <c r="T73" s="42">
        <f t="shared" si="23"/>
        <v>3.8000000000003809E-2</v>
      </c>
      <c r="U73" s="42">
        <f t="shared" si="23"/>
        <v>1.9499999999993634E-2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-2.3323615160364852E-2</v>
      </c>
      <c r="H74" s="42">
        <f t="shared" si="23"/>
        <v>0</v>
      </c>
      <c r="I74" s="42">
        <f t="shared" si="23"/>
        <v>-1.3477088948775418E-2</v>
      </c>
      <c r="J74" s="42">
        <f t="shared" si="23"/>
        <v>-4.761904761900837E-2</v>
      </c>
      <c r="K74" s="42">
        <f t="shared" si="23"/>
        <v>-5.2560646900275287E-2</v>
      </c>
      <c r="L74" s="42">
        <f t="shared" si="23"/>
        <v>15.928571428571416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2.8186813186812856</v>
      </c>
      <c r="P74" s="42">
        <f t="shared" si="23"/>
        <v>-0.13725490196074475</v>
      </c>
      <c r="Q74" s="42">
        <f>Q72-Q68</f>
        <v>3.1428571428571672</v>
      </c>
      <c r="R74" s="42">
        <f t="shared" si="23"/>
        <v>0</v>
      </c>
      <c r="S74" s="42">
        <f t="shared" si="23"/>
        <v>0.14285714285716722</v>
      </c>
      <c r="T74" s="42">
        <f t="shared" si="23"/>
        <v>-0.10439560439562001</v>
      </c>
      <c r="U74" s="42">
        <f t="shared" si="23"/>
        <v>-5.2560646900275287E-2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53"/>
  <dimension ref="A1:AE244"/>
  <sheetViews>
    <sheetView topLeftCell="A7" zoomScale="25" zoomScaleNormal="25" workbookViewId="0">
      <selection activeCell="D23" sqref="D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37</v>
      </c>
      <c r="Q11" s="1022"/>
      <c r="R11" s="6"/>
      <c r="S11" s="1" t="s">
        <v>6</v>
      </c>
      <c r="T11" s="95">
        <v>45634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91.9</v>
      </c>
      <c r="C18" s="282">
        <v>93.4</v>
      </c>
      <c r="D18" s="282">
        <v>91.8</v>
      </c>
      <c r="E18" s="282">
        <v>26.2</v>
      </c>
      <c r="F18" s="282">
        <v>94.6</v>
      </c>
      <c r="G18" s="282">
        <v>92.7</v>
      </c>
      <c r="H18" s="284">
        <v>93.9</v>
      </c>
      <c r="I18" s="285">
        <v>96.9</v>
      </c>
      <c r="J18" s="282">
        <v>96.7</v>
      </c>
      <c r="K18" s="282">
        <v>98.5</v>
      </c>
      <c r="L18" s="282">
        <v>26.7</v>
      </c>
      <c r="M18" s="282">
        <v>95.9</v>
      </c>
      <c r="N18" s="282">
        <v>98.8</v>
      </c>
      <c r="O18" s="282">
        <v>97.7</v>
      </c>
      <c r="P18" s="281">
        <v>98.9</v>
      </c>
      <c r="Q18" s="282">
        <v>100.3</v>
      </c>
      <c r="R18" s="282">
        <v>98.1</v>
      </c>
      <c r="S18" s="282">
        <v>29</v>
      </c>
      <c r="T18" s="282">
        <v>99.3</v>
      </c>
      <c r="U18" s="282">
        <v>98.4</v>
      </c>
      <c r="V18" s="284">
        <v>97.6</v>
      </c>
      <c r="W18" s="538">
        <f t="shared" ref="W18:W24" si="0">SUM(B18:V18)</f>
        <v>1817.3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93.8</v>
      </c>
      <c r="C19" s="486">
        <v>93.9</v>
      </c>
      <c r="D19" s="486">
        <v>92.1</v>
      </c>
      <c r="E19" s="486">
        <v>24.9</v>
      </c>
      <c r="F19" s="486">
        <v>94.3</v>
      </c>
      <c r="G19" s="486">
        <v>92.1</v>
      </c>
      <c r="H19" s="499">
        <v>94.8</v>
      </c>
      <c r="I19" s="456">
        <v>98.3</v>
      </c>
      <c r="J19" s="486">
        <v>97.4</v>
      </c>
      <c r="K19" s="486">
        <v>99.1</v>
      </c>
      <c r="L19" s="486">
        <v>28.5</v>
      </c>
      <c r="M19" s="486">
        <v>98.6</v>
      </c>
      <c r="N19" s="486">
        <v>99.6</v>
      </c>
      <c r="O19" s="486">
        <v>99.1</v>
      </c>
      <c r="P19" s="485">
        <v>99.3</v>
      </c>
      <c r="Q19" s="486">
        <v>101</v>
      </c>
      <c r="R19" s="486">
        <v>97.5</v>
      </c>
      <c r="S19" s="486">
        <v>28.4</v>
      </c>
      <c r="T19" s="486">
        <v>98.2</v>
      </c>
      <c r="U19" s="486">
        <v>99.2</v>
      </c>
      <c r="V19" s="499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92.2</v>
      </c>
      <c r="C20" s="486">
        <v>92.9</v>
      </c>
      <c r="D20" s="486">
        <v>91.5</v>
      </c>
      <c r="E20" s="486">
        <v>25.8</v>
      </c>
      <c r="F20" s="486">
        <v>93.8</v>
      </c>
      <c r="G20" s="486">
        <v>92.2</v>
      </c>
      <c r="H20" s="499">
        <v>93.4</v>
      </c>
      <c r="I20" s="456">
        <v>97.2</v>
      </c>
      <c r="J20" s="486">
        <v>96.2</v>
      </c>
      <c r="K20" s="486">
        <v>97.8</v>
      </c>
      <c r="L20" s="486">
        <v>27.3</v>
      </c>
      <c r="M20" s="486">
        <v>97.1</v>
      </c>
      <c r="N20" s="486">
        <v>98.3</v>
      </c>
      <c r="O20" s="486">
        <v>97.4</v>
      </c>
      <c r="P20" s="485">
        <v>98.4</v>
      </c>
      <c r="Q20" s="486">
        <v>99.5</v>
      </c>
      <c r="R20" s="486">
        <v>97.5</v>
      </c>
      <c r="S20" s="486">
        <v>28.9</v>
      </c>
      <c r="T20" s="486">
        <v>98.8</v>
      </c>
      <c r="U20" s="486">
        <v>97.8</v>
      </c>
      <c r="V20" s="499">
        <v>97.9</v>
      </c>
      <c r="W20" s="538">
        <f t="shared" si="0"/>
        <v>1811.9000000000003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92.2</v>
      </c>
      <c r="C21" s="486">
        <v>92.9</v>
      </c>
      <c r="D21" s="486">
        <v>91.5</v>
      </c>
      <c r="E21" s="486">
        <v>25.8</v>
      </c>
      <c r="F21" s="486">
        <v>93.8</v>
      </c>
      <c r="G21" s="486">
        <v>92.2</v>
      </c>
      <c r="H21" s="499">
        <v>93.4</v>
      </c>
      <c r="I21" s="456">
        <v>97.2</v>
      </c>
      <c r="J21" s="486">
        <v>96.2</v>
      </c>
      <c r="K21" s="486">
        <v>97.5</v>
      </c>
      <c r="L21" s="486">
        <v>27.3</v>
      </c>
      <c r="M21" s="486">
        <v>97.1</v>
      </c>
      <c r="N21" s="486">
        <v>98.3</v>
      </c>
      <c r="O21" s="486">
        <v>97.4</v>
      </c>
      <c r="P21" s="485">
        <v>98.4</v>
      </c>
      <c r="Q21" s="486">
        <v>99.5</v>
      </c>
      <c r="R21" s="486">
        <v>97.5</v>
      </c>
      <c r="S21" s="486">
        <v>28.9</v>
      </c>
      <c r="T21" s="486">
        <v>98.8</v>
      </c>
      <c r="U21" s="486">
        <v>97.8</v>
      </c>
      <c r="V21" s="499">
        <v>97.9</v>
      </c>
      <c r="W21" s="538">
        <f t="shared" si="0"/>
        <v>1811.6000000000004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485">
        <v>92.2</v>
      </c>
      <c r="C22" s="486">
        <v>92.9</v>
      </c>
      <c r="D22" s="486">
        <v>91.5</v>
      </c>
      <c r="E22" s="486">
        <v>25.8</v>
      </c>
      <c r="F22" s="486">
        <v>93.8</v>
      </c>
      <c r="G22" s="486">
        <v>92.2</v>
      </c>
      <c r="H22" s="499">
        <v>93.4</v>
      </c>
      <c r="I22" s="456">
        <v>97.2</v>
      </c>
      <c r="J22" s="486">
        <v>96.2</v>
      </c>
      <c r="K22" s="486">
        <v>97.5</v>
      </c>
      <c r="L22" s="486">
        <v>27.3</v>
      </c>
      <c r="M22" s="486">
        <v>97.1</v>
      </c>
      <c r="N22" s="486">
        <v>98.3</v>
      </c>
      <c r="O22" s="486">
        <v>97.4</v>
      </c>
      <c r="P22" s="485">
        <v>98.4</v>
      </c>
      <c r="Q22" s="486">
        <v>99.5</v>
      </c>
      <c r="R22" s="486">
        <v>97.5</v>
      </c>
      <c r="S22" s="486">
        <v>28.9</v>
      </c>
      <c r="T22" s="486">
        <v>98.8</v>
      </c>
      <c r="U22" s="486">
        <v>97.8</v>
      </c>
      <c r="V22" s="499">
        <v>97.9</v>
      </c>
      <c r="W22" s="538">
        <f t="shared" si="0"/>
        <v>1811.6000000000004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92.7</v>
      </c>
      <c r="C23" s="282">
        <v>92.5</v>
      </c>
      <c r="D23" s="282">
        <v>91.2</v>
      </c>
      <c r="E23" s="282">
        <v>24</v>
      </c>
      <c r="F23" s="282">
        <v>93.2</v>
      </c>
      <c r="G23" s="282">
        <v>91.4</v>
      </c>
      <c r="H23" s="284">
        <v>93.9</v>
      </c>
      <c r="I23" s="285">
        <v>98</v>
      </c>
      <c r="J23" s="282">
        <v>96.6</v>
      </c>
      <c r="K23" s="282">
        <v>97.8</v>
      </c>
      <c r="L23" s="282">
        <v>28.2</v>
      </c>
      <c r="M23" s="282">
        <v>98.4</v>
      </c>
      <c r="N23" s="282">
        <v>98.7</v>
      </c>
      <c r="O23" s="282">
        <v>98</v>
      </c>
      <c r="P23" s="281">
        <v>98.6</v>
      </c>
      <c r="Q23" s="282">
        <v>99.4</v>
      </c>
      <c r="R23" s="282">
        <v>96.7</v>
      </c>
      <c r="S23" s="282">
        <v>27</v>
      </c>
      <c r="T23" s="282">
        <v>98.3</v>
      </c>
      <c r="U23" s="282">
        <v>97</v>
      </c>
      <c r="V23" s="284">
        <v>98.2</v>
      </c>
      <c r="W23" s="538">
        <f t="shared" si="0"/>
        <v>1809.8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92.6</v>
      </c>
      <c r="C24" s="282">
        <v>92.5</v>
      </c>
      <c r="D24" s="282">
        <v>91.2</v>
      </c>
      <c r="E24" s="282">
        <v>24.1</v>
      </c>
      <c r="F24" s="282">
        <v>93.2</v>
      </c>
      <c r="G24" s="282">
        <v>91.4</v>
      </c>
      <c r="H24" s="284">
        <v>93.9</v>
      </c>
      <c r="I24" s="285">
        <v>97.9</v>
      </c>
      <c r="J24" s="282">
        <v>96.6</v>
      </c>
      <c r="K24" s="282">
        <v>97.9</v>
      </c>
      <c r="L24" s="282">
        <v>28.3</v>
      </c>
      <c r="M24" s="282">
        <v>98.5</v>
      </c>
      <c r="N24" s="282">
        <v>98.6</v>
      </c>
      <c r="O24" s="282">
        <v>98</v>
      </c>
      <c r="P24" s="281">
        <v>98.6</v>
      </c>
      <c r="Q24" s="282">
        <v>99.4</v>
      </c>
      <c r="R24" s="282">
        <v>96.8</v>
      </c>
      <c r="S24" s="282">
        <v>27</v>
      </c>
      <c r="T24" s="282">
        <v>98.4</v>
      </c>
      <c r="U24" s="282">
        <v>97</v>
      </c>
      <c r="V24" s="284">
        <v>98.3</v>
      </c>
      <c r="W24" s="98">
        <f t="shared" si="0"/>
        <v>1810.1999999999998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647.6</v>
      </c>
      <c r="C25" s="120">
        <f>SUM(C18:C24)</f>
        <v>651</v>
      </c>
      <c r="D25" s="120">
        <f t="shared" ref="D25:V25" si="1">SUM(D18:D24)</f>
        <v>640.80000000000007</v>
      </c>
      <c r="E25" s="120">
        <f>SUM(E18:E24)</f>
        <v>176.6</v>
      </c>
      <c r="F25" s="120">
        <f t="shared" si="1"/>
        <v>656.7</v>
      </c>
      <c r="G25" s="120">
        <f t="shared" si="1"/>
        <v>644.19999999999993</v>
      </c>
      <c r="H25" s="121">
        <f t="shared" si="1"/>
        <v>656.69999999999993</v>
      </c>
      <c r="I25" s="122">
        <f t="shared" si="1"/>
        <v>682.69999999999993</v>
      </c>
      <c r="J25" s="120">
        <f t="shared" si="1"/>
        <v>675.9</v>
      </c>
      <c r="K25" s="120">
        <f t="shared" si="1"/>
        <v>686.09999999999991</v>
      </c>
      <c r="L25" s="120">
        <f t="shared" si="1"/>
        <v>193.6</v>
      </c>
      <c r="M25" s="120">
        <f t="shared" si="1"/>
        <v>682.7</v>
      </c>
      <c r="N25" s="120">
        <f t="shared" si="1"/>
        <v>690.6</v>
      </c>
      <c r="O25" s="121">
        <f t="shared" si="1"/>
        <v>685</v>
      </c>
      <c r="P25" s="122">
        <f t="shared" si="1"/>
        <v>690.6</v>
      </c>
      <c r="Q25" s="120">
        <f t="shared" si="1"/>
        <v>698.6</v>
      </c>
      <c r="R25" s="120">
        <f t="shared" si="1"/>
        <v>681.6</v>
      </c>
      <c r="S25" s="120">
        <f>SUM(S18:S24)</f>
        <v>198.1</v>
      </c>
      <c r="T25" s="120">
        <f t="shared" si="1"/>
        <v>690.6</v>
      </c>
      <c r="U25" s="120">
        <f t="shared" si="1"/>
        <v>685</v>
      </c>
      <c r="V25" s="121">
        <f t="shared" si="1"/>
        <v>687.19999999999993</v>
      </c>
      <c r="W25" s="361">
        <f>SUM(W18:W24)</f>
        <v>12701.900000000001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161.73999999999995</v>
      </c>
      <c r="C26" s="487">
        <v>161.73999999999995</v>
      </c>
      <c r="D26" s="487">
        <v>161.73999999999995</v>
      </c>
      <c r="E26" s="487">
        <v>161.73999999999995</v>
      </c>
      <c r="F26" s="487">
        <v>161.73999999999995</v>
      </c>
      <c r="G26" s="487">
        <v>161.73999999999995</v>
      </c>
      <c r="H26" s="487">
        <v>161.73999999999995</v>
      </c>
      <c r="I26" s="487">
        <v>161.73999999999995</v>
      </c>
      <c r="J26" s="487">
        <v>161.73999999999995</v>
      </c>
      <c r="K26" s="487">
        <v>161.73999999999995</v>
      </c>
      <c r="L26" s="487">
        <v>161.73999999999995</v>
      </c>
      <c r="M26" s="487">
        <v>161.73999999999995</v>
      </c>
      <c r="N26" s="487">
        <v>161.73999999999995</v>
      </c>
      <c r="O26" s="487">
        <v>161.73999999999995</v>
      </c>
      <c r="P26" s="487">
        <v>161.73999999999995</v>
      </c>
      <c r="Q26" s="487">
        <v>161.73999999999995</v>
      </c>
      <c r="R26" s="487">
        <v>161.73999999999995</v>
      </c>
      <c r="S26" s="487">
        <v>161.73999999999995</v>
      </c>
      <c r="T26" s="487">
        <v>161.73999999999995</v>
      </c>
      <c r="U26" s="487">
        <v>161.73999999999995</v>
      </c>
      <c r="V26" s="487">
        <v>161.73999999999995</v>
      </c>
      <c r="W26" s="99">
        <f>((W25/W27)/7)*1000</f>
        <v>161.79733774918799</v>
      </c>
    </row>
    <row r="27" spans="1:31" s="2" customFormat="1" ht="33" customHeight="1" x14ac:dyDescent="0.25">
      <c r="A27" s="149" t="s">
        <v>12</v>
      </c>
      <c r="B27" s="26">
        <v>572</v>
      </c>
      <c r="C27" s="27">
        <v>575</v>
      </c>
      <c r="D27" s="27">
        <v>565</v>
      </c>
      <c r="E27" s="27">
        <v>155</v>
      </c>
      <c r="F27" s="27">
        <v>580</v>
      </c>
      <c r="G27" s="27">
        <v>569</v>
      </c>
      <c r="H27" s="28">
        <v>580</v>
      </c>
      <c r="I27" s="26">
        <v>602</v>
      </c>
      <c r="J27" s="27">
        <v>597</v>
      </c>
      <c r="K27" s="27">
        <v>606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617</v>
      </c>
      <c r="R27" s="27">
        <v>602</v>
      </c>
      <c r="S27" s="27">
        <v>174</v>
      </c>
      <c r="T27" s="27">
        <v>610</v>
      </c>
      <c r="U27" s="27">
        <v>605</v>
      </c>
      <c r="V27" s="28">
        <v>607</v>
      </c>
      <c r="W27" s="29">
        <f>SUM(B27:V27)</f>
        <v>11215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92.381391999999948</v>
      </c>
      <c r="C28" s="30">
        <f t="shared" ref="C28:V28" si="2">(((((C26*7)*C27)/1000)-(C18+C19))/5)</f>
        <v>92.740699999999961</v>
      </c>
      <c r="D28" s="30">
        <f t="shared" si="2"/>
        <v>91.156339999999972</v>
      </c>
      <c r="E28" s="30">
        <f t="shared" si="2"/>
        <v>24.877579999999988</v>
      </c>
      <c r="F28" s="30">
        <f t="shared" si="2"/>
        <v>93.552879999999959</v>
      </c>
      <c r="G28" s="30">
        <f t="shared" si="2"/>
        <v>91.882083999999949</v>
      </c>
      <c r="H28" s="30">
        <f t="shared" si="2"/>
        <v>93.592879999999951</v>
      </c>
      <c r="I28" s="30">
        <f t="shared" si="2"/>
        <v>97.27447199999996</v>
      </c>
      <c r="J28" s="30">
        <f t="shared" si="2"/>
        <v>96.36229199999994</v>
      </c>
      <c r="K28" s="30">
        <f t="shared" si="2"/>
        <v>97.700215999999926</v>
      </c>
      <c r="L28" s="30">
        <f t="shared" si="2"/>
        <v>27.680555999999989</v>
      </c>
      <c r="M28" s="30">
        <f t="shared" si="2"/>
        <v>97.640907999999968</v>
      </c>
      <c r="N28" s="30">
        <f t="shared" si="2"/>
        <v>98.445959999999971</v>
      </c>
      <c r="O28" s="30">
        <f t="shared" si="2"/>
        <v>97.633779999999945</v>
      </c>
      <c r="P28" s="30">
        <f t="shared" si="2"/>
        <v>98.485959999999963</v>
      </c>
      <c r="Q28" s="30">
        <f t="shared" si="2"/>
        <v>99.451011999999935</v>
      </c>
      <c r="R28" s="30">
        <f t="shared" si="2"/>
        <v>97.194471999999948</v>
      </c>
      <c r="S28" s="30">
        <f t="shared" si="2"/>
        <v>27.919863999999983</v>
      </c>
      <c r="T28" s="30">
        <f t="shared" si="2"/>
        <v>98.625959999999964</v>
      </c>
      <c r="U28" s="30">
        <f t="shared" si="2"/>
        <v>97.473779999999948</v>
      </c>
      <c r="V28" s="30">
        <f t="shared" si="2"/>
        <v>98.046651999999952</v>
      </c>
      <c r="W28" s="362">
        <f>((W25*1000)/7)/W27</f>
        <v>161.79733774918799</v>
      </c>
    </row>
    <row r="29" spans="1:31" ht="33.75" customHeight="1" x14ac:dyDescent="0.25">
      <c r="A29" s="151" t="s">
        <v>14</v>
      </c>
      <c r="B29" s="281">
        <f>((B27*B26)*7)/1000</f>
        <v>647.60695999999973</v>
      </c>
      <c r="C29" s="282">
        <f>((C27*C26)*7)/1000</f>
        <v>651.0034999999998</v>
      </c>
      <c r="D29" s="282">
        <f t="shared" ref="D29:V29" si="3">((D27*D26)*7)/1000</f>
        <v>639.68169999999986</v>
      </c>
      <c r="E29" s="282">
        <f t="shared" si="3"/>
        <v>175.48789999999997</v>
      </c>
      <c r="F29" s="282">
        <f t="shared" si="3"/>
        <v>656.66439999999977</v>
      </c>
      <c r="G29" s="282">
        <f t="shared" si="3"/>
        <v>644.21041999999977</v>
      </c>
      <c r="H29" s="284">
        <f t="shared" si="3"/>
        <v>656.66439999999977</v>
      </c>
      <c r="I29" s="281">
        <f t="shared" si="3"/>
        <v>681.57235999999978</v>
      </c>
      <c r="J29" s="282">
        <f t="shared" si="3"/>
        <v>675.91145999999969</v>
      </c>
      <c r="K29" s="282">
        <f t="shared" si="3"/>
        <v>686.1010799999998</v>
      </c>
      <c r="L29" s="282">
        <f t="shared" si="3"/>
        <v>193.60277999999997</v>
      </c>
      <c r="M29" s="282">
        <f t="shared" si="3"/>
        <v>682.70453999999984</v>
      </c>
      <c r="N29" s="282">
        <f t="shared" si="3"/>
        <v>690.62979999999982</v>
      </c>
      <c r="O29" s="284">
        <f t="shared" si="3"/>
        <v>684.96889999999973</v>
      </c>
      <c r="P29" s="281">
        <f t="shared" si="3"/>
        <v>690.62979999999982</v>
      </c>
      <c r="Q29" s="282">
        <f t="shared" si="3"/>
        <v>698.5550599999998</v>
      </c>
      <c r="R29" s="282">
        <f t="shared" si="3"/>
        <v>681.57235999999978</v>
      </c>
      <c r="S29" s="282">
        <f t="shared" si="3"/>
        <v>196.99931999999995</v>
      </c>
      <c r="T29" s="282">
        <f t="shared" si="3"/>
        <v>690.62979999999982</v>
      </c>
      <c r="U29" s="282">
        <f t="shared" si="3"/>
        <v>684.96889999999973</v>
      </c>
      <c r="V29" s="284">
        <f t="shared" si="3"/>
        <v>687.23325999999975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161.73826173826171</v>
      </c>
      <c r="C30" s="38">
        <f t="shared" ref="C30:V30" si="4">+(C25/C27)/7*1000</f>
        <v>161.7391304347826</v>
      </c>
      <c r="D30" s="38">
        <f t="shared" si="4"/>
        <v>162.02275600505692</v>
      </c>
      <c r="E30" s="38">
        <f t="shared" si="4"/>
        <v>162.76497695852535</v>
      </c>
      <c r="F30" s="38">
        <f t="shared" si="4"/>
        <v>161.74876847290642</v>
      </c>
      <c r="G30" s="38">
        <f t="shared" si="4"/>
        <v>161.73738388149636</v>
      </c>
      <c r="H30" s="39">
        <f t="shared" si="4"/>
        <v>161.74876847290639</v>
      </c>
      <c r="I30" s="37">
        <f t="shared" si="4"/>
        <v>162.00759373516846</v>
      </c>
      <c r="J30" s="38">
        <f t="shared" si="4"/>
        <v>161.73725771715721</v>
      </c>
      <c r="K30" s="38">
        <f t="shared" si="4"/>
        <v>161.73974540311173</v>
      </c>
      <c r="L30" s="38">
        <f t="shared" si="4"/>
        <v>161.73767752715122</v>
      </c>
      <c r="M30" s="38">
        <f t="shared" si="4"/>
        <v>161.7389244254916</v>
      </c>
      <c r="N30" s="38">
        <f t="shared" si="4"/>
        <v>161.73302107728338</v>
      </c>
      <c r="O30" s="39">
        <f t="shared" si="4"/>
        <v>161.7473435655254</v>
      </c>
      <c r="P30" s="37">
        <f t="shared" si="4"/>
        <v>161.73302107728338</v>
      </c>
      <c r="Q30" s="38">
        <f t="shared" si="4"/>
        <v>161.75040518638576</v>
      </c>
      <c r="R30" s="38">
        <f t="shared" si="4"/>
        <v>161.74655908875178</v>
      </c>
      <c r="S30" s="38">
        <f t="shared" si="4"/>
        <v>162.64367816091954</v>
      </c>
      <c r="T30" s="38">
        <f t="shared" si="4"/>
        <v>161.73302107728338</v>
      </c>
      <c r="U30" s="38">
        <f t="shared" si="4"/>
        <v>161.7473435655254</v>
      </c>
      <c r="V30" s="39">
        <f t="shared" si="4"/>
        <v>161.73217227582958</v>
      </c>
      <c r="W30" s="40"/>
    </row>
    <row r="31" spans="1:31" ht="33.75" customHeight="1" x14ac:dyDescent="0.25">
      <c r="A31" s="41"/>
      <c r="B31" s="42">
        <f>B29-B25</f>
        <v>6.9599999997080886E-3</v>
      </c>
      <c r="C31" s="42">
        <f t="shared" ref="C31:V32" si="5">C29-C25</f>
        <v>3.4999999998035491E-3</v>
      </c>
      <c r="D31" s="42">
        <f t="shared" si="5"/>
        <v>-1.1183000000002039</v>
      </c>
      <c r="E31" s="42">
        <f t="shared" si="5"/>
        <v>-1.1121000000000265</v>
      </c>
      <c r="F31" s="42">
        <f t="shared" si="5"/>
        <v>-3.5600000000272303E-2</v>
      </c>
      <c r="G31" s="42">
        <f t="shared" si="5"/>
        <v>1.0419999999840002E-2</v>
      </c>
      <c r="H31" s="42">
        <f t="shared" si="5"/>
        <v>-3.5600000000158616E-2</v>
      </c>
      <c r="I31" s="42">
        <f t="shared" si="5"/>
        <v>-1.1276400000001559</v>
      </c>
      <c r="J31" s="42">
        <f t="shared" si="5"/>
        <v>1.1459999999715365E-2</v>
      </c>
      <c r="K31" s="42">
        <f t="shared" si="5"/>
        <v>1.0799999998880594E-3</v>
      </c>
      <c r="L31" s="42">
        <f t="shared" si="5"/>
        <v>2.7799999999729152E-3</v>
      </c>
      <c r="M31" s="42">
        <f t="shared" si="5"/>
        <v>4.5399999997925988E-3</v>
      </c>
      <c r="N31" s="42">
        <f t="shared" si="5"/>
        <v>2.9799999999795546E-2</v>
      </c>
      <c r="O31" s="42">
        <f t="shared" si="5"/>
        <v>-3.1100000000265027E-2</v>
      </c>
      <c r="P31" s="42">
        <f t="shared" si="5"/>
        <v>2.9799999999795546E-2</v>
      </c>
      <c r="Q31" s="42">
        <f t="shared" si="5"/>
        <v>-4.4940000000224245E-2</v>
      </c>
      <c r="R31" s="42">
        <f t="shared" si="5"/>
        <v>-2.76400000002468E-2</v>
      </c>
      <c r="S31" s="42">
        <f t="shared" si="5"/>
        <v>-1.1006800000000396</v>
      </c>
      <c r="T31" s="42">
        <f t="shared" si="5"/>
        <v>2.9799999999795546E-2</v>
      </c>
      <c r="U31" s="42">
        <f t="shared" si="5"/>
        <v>-3.1100000000265027E-2</v>
      </c>
      <c r="V31" s="42">
        <f t="shared" si="5"/>
        <v>3.3259999999813772E-2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-1.7382617382395438E-3</v>
      </c>
      <c r="C32" s="42">
        <f t="shared" si="5"/>
        <v>-8.6956521735714887E-4</v>
      </c>
      <c r="D32" s="42">
        <f t="shared" si="5"/>
        <v>0.2827560050569673</v>
      </c>
      <c r="E32" s="42">
        <f t="shared" si="5"/>
        <v>1.0249769585254001</v>
      </c>
      <c r="F32" s="42">
        <f t="shared" si="5"/>
        <v>8.7684729064676503E-3</v>
      </c>
      <c r="G32" s="42">
        <f t="shared" si="5"/>
        <v>-2.6161185035959988E-3</v>
      </c>
      <c r="H32" s="42">
        <f t="shared" si="5"/>
        <v>8.7684729064392286E-3</v>
      </c>
      <c r="I32" s="42">
        <f t="shared" si="5"/>
        <v>0.2675937351685036</v>
      </c>
      <c r="J32" s="42">
        <f t="shared" si="5"/>
        <v>-2.7422828427461354E-3</v>
      </c>
      <c r="K32" s="42">
        <f t="shared" si="5"/>
        <v>-2.5459688822593307E-4</v>
      </c>
      <c r="L32" s="42">
        <f t="shared" si="5"/>
        <v>-2.3224728487321045E-3</v>
      </c>
      <c r="M32" s="42">
        <f t="shared" si="5"/>
        <v>-1.075574508348609E-3</v>
      </c>
      <c r="N32" s="42">
        <f t="shared" si="5"/>
        <v>-6.9789227165699685E-3</v>
      </c>
      <c r="O32" s="42">
        <f t="shared" si="5"/>
        <v>7.3435655254456833E-3</v>
      </c>
      <c r="P32" s="42">
        <f t="shared" si="5"/>
        <v>-6.9789227165699685E-3</v>
      </c>
      <c r="Q32" s="42">
        <f>Q30-Q26</f>
        <v>1.0405186385810339E-2</v>
      </c>
      <c r="R32" s="42">
        <f t="shared" si="5"/>
        <v>6.5590887518283125E-3</v>
      </c>
      <c r="S32" s="42">
        <f t="shared" si="5"/>
        <v>0.90367816091958275</v>
      </c>
      <c r="T32" s="42">
        <f t="shared" si="5"/>
        <v>-6.9789227165699685E-3</v>
      </c>
      <c r="U32" s="42">
        <f t="shared" si="5"/>
        <v>7.3435655254456833E-3</v>
      </c>
      <c r="V32" s="42">
        <f t="shared" si="5"/>
        <v>-7.8277241703688105E-3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92</v>
      </c>
      <c r="D39" s="282">
        <v>19.8</v>
      </c>
      <c r="E39" s="282">
        <v>91.9</v>
      </c>
      <c r="F39" s="282">
        <v>92.7</v>
      </c>
      <c r="G39" s="284">
        <v>91.2</v>
      </c>
      <c r="H39" s="540">
        <f t="shared" ref="H39:H46" si="6">SUM(B39:G39)</f>
        <v>475.9</v>
      </c>
      <c r="I39" s="49"/>
      <c r="J39" s="42"/>
      <c r="K39" s="42"/>
      <c r="L39" s="42"/>
      <c r="M39" s="2"/>
      <c r="N39" s="146" t="s">
        <v>51</v>
      </c>
      <c r="O39" s="485">
        <v>6.6</v>
      </c>
      <c r="P39" s="486">
        <v>5.7</v>
      </c>
      <c r="Q39" s="486">
        <v>1.3</v>
      </c>
      <c r="R39" s="486">
        <v>6.6</v>
      </c>
      <c r="S39" s="486">
        <v>7.4</v>
      </c>
      <c r="T39" s="486">
        <v>7.3</v>
      </c>
      <c r="U39" s="540">
        <f t="shared" ref="U39:U45" si="7">SUM(O39:T39)</f>
        <v>34.9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485">
        <v>91.5</v>
      </c>
      <c r="C40" s="486">
        <v>88.7</v>
      </c>
      <c r="D40" s="486">
        <v>20.2</v>
      </c>
      <c r="E40" s="486">
        <v>90.4</v>
      </c>
      <c r="F40" s="486">
        <v>88.2</v>
      </c>
      <c r="G40" s="499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485">
        <v>6.4</v>
      </c>
      <c r="P40" s="486">
        <v>7</v>
      </c>
      <c r="Q40" s="486">
        <v>1.5</v>
      </c>
      <c r="R40" s="486">
        <v>6.6</v>
      </c>
      <c r="S40" s="486">
        <v>7.4</v>
      </c>
      <c r="T40" s="486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88.7</v>
      </c>
      <c r="C41" s="486">
        <v>91.6</v>
      </c>
      <c r="D41" s="486">
        <v>21.4</v>
      </c>
      <c r="E41" s="486">
        <v>92.9</v>
      </c>
      <c r="F41" s="486">
        <v>92</v>
      </c>
      <c r="G41" s="499">
        <v>92.9</v>
      </c>
      <c r="H41" s="539">
        <f t="shared" si="6"/>
        <v>479.5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7</v>
      </c>
      <c r="Q41" s="486">
        <v>1.5</v>
      </c>
      <c r="R41" s="486">
        <v>6.6</v>
      </c>
      <c r="S41" s="486">
        <v>7.4</v>
      </c>
      <c r="T41" s="486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88.3</v>
      </c>
      <c r="C42" s="486">
        <v>91</v>
      </c>
      <c r="D42" s="486">
        <v>21.4</v>
      </c>
      <c r="E42" s="486">
        <v>92.9</v>
      </c>
      <c r="F42" s="486">
        <v>92</v>
      </c>
      <c r="G42" s="499">
        <v>92.9</v>
      </c>
      <c r="H42" s="539">
        <f t="shared" si="6"/>
        <v>478.5</v>
      </c>
      <c r="I42" s="49"/>
      <c r="J42" s="2"/>
      <c r="K42" s="2"/>
      <c r="L42" s="2"/>
      <c r="M42" s="2"/>
      <c r="N42" s="146" t="s">
        <v>28</v>
      </c>
      <c r="O42" s="485">
        <v>6.5</v>
      </c>
      <c r="P42" s="486">
        <v>6.7</v>
      </c>
      <c r="Q42" s="486">
        <v>1.2</v>
      </c>
      <c r="R42" s="486">
        <v>6.6</v>
      </c>
      <c r="S42" s="486">
        <v>7.4</v>
      </c>
      <c r="T42" s="486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88.4</v>
      </c>
      <c r="C43" s="486">
        <v>91</v>
      </c>
      <c r="D43" s="486">
        <v>21.4</v>
      </c>
      <c r="E43" s="486">
        <v>92.9</v>
      </c>
      <c r="F43" s="486">
        <v>92</v>
      </c>
      <c r="G43" s="499">
        <v>92.9</v>
      </c>
      <c r="H43" s="539">
        <f t="shared" si="6"/>
        <v>478.6</v>
      </c>
      <c r="I43" s="49"/>
      <c r="J43" s="222"/>
      <c r="K43" s="222"/>
      <c r="L43" s="222"/>
      <c r="M43" s="2"/>
      <c r="N43" s="146" t="s">
        <v>21</v>
      </c>
      <c r="O43" s="485">
        <v>6.5</v>
      </c>
      <c r="P43" s="486">
        <v>6.7</v>
      </c>
      <c r="Q43" s="486">
        <v>1.3</v>
      </c>
      <c r="R43" s="486">
        <v>6.6</v>
      </c>
      <c r="S43" s="486">
        <v>7.4</v>
      </c>
      <c r="T43" s="486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88.4</v>
      </c>
      <c r="C44" s="282">
        <v>86.5</v>
      </c>
      <c r="D44" s="282">
        <v>20.5</v>
      </c>
      <c r="E44" s="282">
        <v>91</v>
      </c>
      <c r="F44" s="282">
        <v>89.7</v>
      </c>
      <c r="G44" s="284">
        <v>93</v>
      </c>
      <c r="H44" s="539">
        <f t="shared" si="6"/>
        <v>469.09999999999997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6.4</v>
      </c>
      <c r="Q44" s="282">
        <v>1.4</v>
      </c>
      <c r="R44" s="282">
        <v>6.6</v>
      </c>
      <c r="S44" s="282">
        <v>7.4</v>
      </c>
      <c r="T44" s="282">
        <v>7.3</v>
      </c>
      <c r="U44" s="539">
        <f t="shared" si="7"/>
        <v>35.599999999999994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86.6</v>
      </c>
      <c r="D45" s="282">
        <v>20.5</v>
      </c>
      <c r="E45" s="282">
        <v>90.9</v>
      </c>
      <c r="F45" s="282">
        <v>89.7</v>
      </c>
      <c r="G45" s="284">
        <v>93</v>
      </c>
      <c r="H45" s="265">
        <f t="shared" si="6"/>
        <v>468.99999999999994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1.4</v>
      </c>
      <c r="R45" s="282">
        <v>6.6</v>
      </c>
      <c r="S45" s="282">
        <v>7.4</v>
      </c>
      <c r="T45" s="282">
        <v>7.4</v>
      </c>
      <c r="U45" s="264">
        <f t="shared" si="7"/>
        <v>35.699999999999996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621.9</v>
      </c>
      <c r="C46" s="120">
        <f t="shared" si="8"/>
        <v>627.4</v>
      </c>
      <c r="D46" s="120">
        <f t="shared" si="8"/>
        <v>145.19999999999999</v>
      </c>
      <c r="E46" s="120">
        <f t="shared" si="8"/>
        <v>642.9</v>
      </c>
      <c r="F46" s="120">
        <f t="shared" si="8"/>
        <v>636.30000000000007</v>
      </c>
      <c r="G46" s="121">
        <f t="shared" si="8"/>
        <v>648.5</v>
      </c>
      <c r="H46" s="560">
        <f t="shared" si="6"/>
        <v>3322.2000000000003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</v>
      </c>
      <c r="P46" s="120">
        <f t="shared" si="9"/>
        <v>45.9</v>
      </c>
      <c r="Q46" s="120">
        <f t="shared" si="9"/>
        <v>9.6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250.29999999999998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158.35999999999999</v>
      </c>
      <c r="C47" s="555">
        <v>158.35999999999999</v>
      </c>
      <c r="D47" s="555">
        <v>158.35999999999999</v>
      </c>
      <c r="E47" s="555">
        <v>158.35999999999999</v>
      </c>
      <c r="F47" s="555">
        <v>158.35999999999999</v>
      </c>
      <c r="G47" s="555">
        <v>158.35999999999999</v>
      </c>
      <c r="H47" s="234">
        <f>+((H46/H48)/7)*1000</f>
        <v>158.62299465240642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150.87402049427365</v>
      </c>
      <c r="V47" s="50"/>
    </row>
    <row r="48" spans="1:31" ht="33.75" customHeight="1" x14ac:dyDescent="0.25">
      <c r="A48" s="149" t="s">
        <v>12</v>
      </c>
      <c r="B48" s="26">
        <v>560</v>
      </c>
      <c r="C48" s="27">
        <v>565</v>
      </c>
      <c r="D48" s="27">
        <v>130</v>
      </c>
      <c r="E48" s="27">
        <v>580</v>
      </c>
      <c r="F48" s="27">
        <v>573</v>
      </c>
      <c r="G48" s="28">
        <v>584</v>
      </c>
      <c r="H48" s="256">
        <f>SUM(B48:G48)</f>
        <v>2992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8</v>
      </c>
      <c r="R48" s="278">
        <v>44</v>
      </c>
      <c r="S48" s="278">
        <v>49</v>
      </c>
      <c r="T48" s="278">
        <v>48</v>
      </c>
      <c r="U48" s="235">
        <f>SUM(O48:T48)</f>
        <v>237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88.194239999999979</v>
      </c>
      <c r="C49" s="30">
        <f t="shared" ref="C49:G49" si="10">(((((C47*7)*C48)/1000)-(C39+C40))/5)</f>
        <v>89.12276</v>
      </c>
      <c r="D49" s="30">
        <f t="shared" si="10"/>
        <v>20.821520000000003</v>
      </c>
      <c r="E49" s="30">
        <f t="shared" si="10"/>
        <v>92.128320000000002</v>
      </c>
      <c r="F49" s="30">
        <f t="shared" si="10"/>
        <v>90.856392</v>
      </c>
      <c r="G49" s="30">
        <f t="shared" si="10"/>
        <v>92.715136000000001</v>
      </c>
      <c r="H49" s="257">
        <f>((H46*1000)/H48)/7</f>
        <v>158.62299465240645</v>
      </c>
      <c r="I49" s="54"/>
      <c r="J49" s="54"/>
      <c r="K49" s="41"/>
      <c r="L49" s="49"/>
      <c r="N49" s="150" t="s">
        <v>13</v>
      </c>
      <c r="O49" s="30">
        <f>((((O47*7)*O48)/1000)-(O39+O40+O41))/4</f>
        <v>6.5075000000000003</v>
      </c>
      <c r="P49" s="30">
        <f t="shared" ref="P49:T49" si="11">((((P47*7)*P48)/1000)-(P39+P40+P41))/4</f>
        <v>6.5480000000000009</v>
      </c>
      <c r="Q49" s="30">
        <f t="shared" si="11"/>
        <v>1.0530000000000002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7.327</v>
      </c>
      <c r="U49" s="253">
        <f>((U46*1000)/U48)/7</f>
        <v>150.87402049427365</v>
      </c>
      <c r="V49" s="192"/>
    </row>
    <row r="50" spans="1:30" ht="33.75" customHeight="1" x14ac:dyDescent="0.25">
      <c r="A50" s="151" t="s">
        <v>14</v>
      </c>
      <c r="B50" s="281">
        <f>((B48*B47)*7)/1000</f>
        <v>620.77119999999991</v>
      </c>
      <c r="C50" s="282">
        <f t="shared" ref="C50:G50" si="12">((C48*C47)*7)/1000</f>
        <v>626.3137999999999</v>
      </c>
      <c r="D50" s="282">
        <f t="shared" si="12"/>
        <v>144.10760000000002</v>
      </c>
      <c r="E50" s="282">
        <f t="shared" si="12"/>
        <v>642.94159999999988</v>
      </c>
      <c r="F50" s="282">
        <f t="shared" si="12"/>
        <v>635.18195999999989</v>
      </c>
      <c r="G50" s="284">
        <f t="shared" si="12"/>
        <v>647.37567999999999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45.892000000000003</v>
      </c>
      <c r="Q50" s="282">
        <f t="shared" si="13"/>
        <v>8.5120000000000005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158.64795918367344</v>
      </c>
      <c r="C51" s="38">
        <f t="shared" si="14"/>
        <v>158.63463969658659</v>
      </c>
      <c r="D51" s="38">
        <f t="shared" si="14"/>
        <v>159.56043956043956</v>
      </c>
      <c r="E51" s="38">
        <f t="shared" si="14"/>
        <v>158.34975369458127</v>
      </c>
      <c r="F51" s="38">
        <f t="shared" si="14"/>
        <v>158.6387434554974</v>
      </c>
      <c r="G51" s="39">
        <f t="shared" si="14"/>
        <v>158.63502935420743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147.40259740259739</v>
      </c>
      <c r="P51" s="38">
        <f t="shared" si="15"/>
        <v>149.02597402597402</v>
      </c>
      <c r="Q51" s="38">
        <f t="shared" si="15"/>
        <v>171.42857142857142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-1.1288000000000693</v>
      </c>
      <c r="C52" s="42">
        <f t="shared" ref="C52:G53" si="16">C50-C46</f>
        <v>-1.0862000000000762</v>
      </c>
      <c r="D52" s="42">
        <f t="shared" si="16"/>
        <v>-1.0923999999999694</v>
      </c>
      <c r="E52" s="42">
        <f t="shared" si="16"/>
        <v>4.1599999999903048E-2</v>
      </c>
      <c r="F52" s="42">
        <f t="shared" si="16"/>
        <v>-1.1180400000001782</v>
      </c>
      <c r="G52" s="42">
        <f t="shared" si="16"/>
        <v>-1.1243200000000115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3.0000000000001137E-2</v>
      </c>
      <c r="P52" s="42">
        <f t="shared" si="17"/>
        <v>-7.9999999999955662E-3</v>
      </c>
      <c r="Q52" s="42">
        <f t="shared" si="17"/>
        <v>-1.0879999999999992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0.28795918367345053</v>
      </c>
      <c r="C53" s="42">
        <f t="shared" si="16"/>
        <v>0.27463969658660403</v>
      </c>
      <c r="D53" s="42">
        <f t="shared" si="16"/>
        <v>1.2004395604395768</v>
      </c>
      <c r="E53" s="42">
        <f t="shared" si="16"/>
        <v>-1.0246305418718293E-2</v>
      </c>
      <c r="F53" s="42">
        <f t="shared" si="16"/>
        <v>0.27874345549741975</v>
      </c>
      <c r="G53" s="42">
        <f t="shared" si="16"/>
        <v>0.27502935420744734</v>
      </c>
      <c r="I53" s="2"/>
      <c r="J53" s="2"/>
      <c r="K53" s="45"/>
      <c r="L53" s="41"/>
      <c r="M53" s="42"/>
      <c r="N53" s="42"/>
      <c r="O53" s="42">
        <f t="shared" si="17"/>
        <v>-9.7402597402606261E-2</v>
      </c>
      <c r="P53" s="42">
        <f t="shared" si="17"/>
        <v>2.5974025974022652E-2</v>
      </c>
      <c r="Q53" s="42">
        <f t="shared" si="17"/>
        <v>19.428571428571416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61"/>
      <c r="C54" s="1061"/>
      <c r="D54" s="106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485">
        <v>7.8</v>
      </c>
      <c r="C60" s="486">
        <v>7.7</v>
      </c>
      <c r="D60" s="486">
        <v>7.9</v>
      </c>
      <c r="E60" s="486">
        <v>2.2000000000000002</v>
      </c>
      <c r="F60" s="486">
        <v>7.9</v>
      </c>
      <c r="G60" s="486">
        <v>7.5</v>
      </c>
      <c r="H60" s="556">
        <v>7.8</v>
      </c>
      <c r="I60" s="485">
        <v>8.3000000000000007</v>
      </c>
      <c r="J60" s="486">
        <v>7.1</v>
      </c>
      <c r="K60" s="486">
        <v>8.1</v>
      </c>
      <c r="L60" s="557">
        <v>1.4</v>
      </c>
      <c r="M60" s="557">
        <v>7.1</v>
      </c>
      <c r="N60" s="486">
        <v>8</v>
      </c>
      <c r="O60" s="558">
        <v>8.1</v>
      </c>
      <c r="P60" s="485">
        <v>7.8</v>
      </c>
      <c r="Q60" s="486">
        <v>8</v>
      </c>
      <c r="R60" s="486">
        <v>7.8</v>
      </c>
      <c r="S60" s="486">
        <v>2</v>
      </c>
      <c r="T60" s="486">
        <v>8</v>
      </c>
      <c r="U60" s="486">
        <v>8.1</v>
      </c>
      <c r="V60" s="556">
        <v>7.8</v>
      </c>
      <c r="W60" s="539">
        <f t="shared" ref="W60:W66" si="18">SUM(B60:V60)</f>
        <v>146.39999999999998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485">
        <v>8.1</v>
      </c>
      <c r="C61" s="486">
        <v>7.8</v>
      </c>
      <c r="D61" s="486">
        <v>8</v>
      </c>
      <c r="E61" s="486">
        <v>2.2000000000000002</v>
      </c>
      <c r="F61" s="486">
        <v>7.9</v>
      </c>
      <c r="G61" s="486">
        <v>7.9</v>
      </c>
      <c r="H61" s="556">
        <v>7.8</v>
      </c>
      <c r="I61" s="485">
        <v>8.1999999999999993</v>
      </c>
      <c r="J61" s="486">
        <v>7.8</v>
      </c>
      <c r="K61" s="486">
        <v>8.3000000000000007</v>
      </c>
      <c r="L61" s="557">
        <v>2</v>
      </c>
      <c r="M61" s="557">
        <v>8</v>
      </c>
      <c r="N61" s="486">
        <v>7.7</v>
      </c>
      <c r="O61" s="558">
        <v>8.1999999999999993</v>
      </c>
      <c r="P61" s="485">
        <v>8.1999999999999993</v>
      </c>
      <c r="Q61" s="486">
        <v>7.9</v>
      </c>
      <c r="R61" s="486">
        <v>7.8</v>
      </c>
      <c r="S61" s="486">
        <v>2.1</v>
      </c>
      <c r="T61" s="486">
        <v>8.1</v>
      </c>
      <c r="U61" s="486">
        <v>8.4</v>
      </c>
      <c r="V61" s="556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8.1</v>
      </c>
      <c r="C62" s="486">
        <v>7.8</v>
      </c>
      <c r="D62" s="486">
        <v>8</v>
      </c>
      <c r="E62" s="486">
        <v>2.2000000000000002</v>
      </c>
      <c r="F62" s="486">
        <v>7.9</v>
      </c>
      <c r="G62" s="486">
        <v>7.9</v>
      </c>
      <c r="H62" s="556">
        <v>7.8</v>
      </c>
      <c r="I62" s="485">
        <v>8.1999999999999993</v>
      </c>
      <c r="J62" s="486">
        <v>7.8</v>
      </c>
      <c r="K62" s="486">
        <v>8.3000000000000007</v>
      </c>
      <c r="L62" s="557">
        <v>2</v>
      </c>
      <c r="M62" s="557">
        <v>8</v>
      </c>
      <c r="N62" s="486">
        <v>7.7</v>
      </c>
      <c r="O62" s="558">
        <v>7.9</v>
      </c>
      <c r="P62" s="485">
        <v>8.1999999999999993</v>
      </c>
      <c r="Q62" s="486">
        <v>7.7</v>
      </c>
      <c r="R62" s="486">
        <v>7.8</v>
      </c>
      <c r="S62" s="486">
        <v>2.1</v>
      </c>
      <c r="T62" s="486">
        <v>8.1</v>
      </c>
      <c r="U62" s="486">
        <v>8.4</v>
      </c>
      <c r="V62" s="556">
        <v>7.8</v>
      </c>
      <c r="W62" s="539">
        <f t="shared" si="18"/>
        <v>149.70000000000002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7.7</v>
      </c>
      <c r="C63" s="486">
        <v>7.7</v>
      </c>
      <c r="D63" s="486">
        <v>7.8</v>
      </c>
      <c r="E63" s="486">
        <v>2.1</v>
      </c>
      <c r="F63" s="486">
        <v>7.9</v>
      </c>
      <c r="G63" s="486">
        <v>7.4</v>
      </c>
      <c r="H63" s="556">
        <v>7.8</v>
      </c>
      <c r="I63" s="485">
        <v>8.1999999999999993</v>
      </c>
      <c r="J63" s="486">
        <v>7.5</v>
      </c>
      <c r="K63" s="486">
        <v>8.1</v>
      </c>
      <c r="L63" s="557">
        <v>1.7</v>
      </c>
      <c r="M63" s="557">
        <v>8</v>
      </c>
      <c r="N63" s="486">
        <v>7.9</v>
      </c>
      <c r="O63" s="558">
        <v>7.9</v>
      </c>
      <c r="P63" s="485">
        <v>8.1999999999999993</v>
      </c>
      <c r="Q63" s="486">
        <v>7.7</v>
      </c>
      <c r="R63" s="486">
        <v>7.8</v>
      </c>
      <c r="S63" s="486">
        <v>2</v>
      </c>
      <c r="T63" s="486">
        <v>7.9</v>
      </c>
      <c r="U63" s="486">
        <v>8</v>
      </c>
      <c r="V63" s="556">
        <v>7.8</v>
      </c>
      <c r="W63" s="539">
        <f t="shared" si="18"/>
        <v>147.10000000000002</v>
      </c>
      <c r="X63" s="2"/>
      <c r="Y63" s="48"/>
      <c r="Z63" s="2"/>
    </row>
    <row r="64" spans="1:30" ht="33.75" customHeight="1" x14ac:dyDescent="0.25">
      <c r="A64" s="146" t="s">
        <v>21</v>
      </c>
      <c r="B64" s="485">
        <v>7.7</v>
      </c>
      <c r="C64" s="486">
        <v>7.7</v>
      </c>
      <c r="D64" s="486">
        <v>7.9</v>
      </c>
      <c r="E64" s="486">
        <v>2.1</v>
      </c>
      <c r="F64" s="486">
        <v>7.9</v>
      </c>
      <c r="G64" s="486">
        <v>7.4</v>
      </c>
      <c r="H64" s="556">
        <v>7.8</v>
      </c>
      <c r="I64" s="485">
        <v>8.1999999999999993</v>
      </c>
      <c r="J64" s="486">
        <v>7.2</v>
      </c>
      <c r="K64" s="486">
        <v>8.1</v>
      </c>
      <c r="L64" s="557">
        <v>1.5</v>
      </c>
      <c r="M64" s="557">
        <v>8</v>
      </c>
      <c r="N64" s="486">
        <v>8</v>
      </c>
      <c r="O64" s="558">
        <v>7.9</v>
      </c>
      <c r="P64" s="485">
        <v>7.7</v>
      </c>
      <c r="Q64" s="486">
        <v>7.8</v>
      </c>
      <c r="R64" s="486">
        <v>7.8</v>
      </c>
      <c r="S64" s="486">
        <v>2</v>
      </c>
      <c r="T64" s="486">
        <v>8</v>
      </c>
      <c r="U64" s="486">
        <v>8</v>
      </c>
      <c r="V64" s="556">
        <v>7.8</v>
      </c>
      <c r="W64" s="539">
        <f t="shared" si="18"/>
        <v>146.5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7.7</v>
      </c>
      <c r="H65" s="283">
        <v>7.2</v>
      </c>
      <c r="I65" s="18">
        <v>8.1999999999999993</v>
      </c>
      <c r="J65" s="282">
        <v>7.5</v>
      </c>
      <c r="K65" s="282">
        <v>8.1999999999999993</v>
      </c>
      <c r="L65" s="561">
        <v>1.2</v>
      </c>
      <c r="M65" s="561">
        <v>8</v>
      </c>
      <c r="N65" s="282">
        <v>7.9</v>
      </c>
      <c r="O65" s="474">
        <v>7.9</v>
      </c>
      <c r="P65" s="281">
        <v>7.9</v>
      </c>
      <c r="Q65" s="282">
        <v>7.8</v>
      </c>
      <c r="R65" s="282">
        <v>7.8</v>
      </c>
      <c r="S65" s="282">
        <v>2</v>
      </c>
      <c r="T65" s="282">
        <v>8</v>
      </c>
      <c r="U65" s="282">
        <v>8.1999999999999993</v>
      </c>
      <c r="V65" s="283">
        <v>7.8</v>
      </c>
      <c r="W65" s="539">
        <f t="shared" si="18"/>
        <v>146.90000000000003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7.9</v>
      </c>
      <c r="G66" s="282">
        <v>7.7</v>
      </c>
      <c r="H66" s="283">
        <v>7.3</v>
      </c>
      <c r="I66" s="18">
        <v>8.1999999999999993</v>
      </c>
      <c r="J66" s="282">
        <v>7.5</v>
      </c>
      <c r="K66" s="282">
        <v>8.1999999999999993</v>
      </c>
      <c r="L66" s="561">
        <v>1.1000000000000001</v>
      </c>
      <c r="M66" s="561">
        <v>8.1</v>
      </c>
      <c r="N66" s="282">
        <v>7.8</v>
      </c>
      <c r="O66" s="474">
        <v>8</v>
      </c>
      <c r="P66" s="281">
        <v>8</v>
      </c>
      <c r="Q66" s="282">
        <v>7.7</v>
      </c>
      <c r="R66" s="282">
        <v>7.8</v>
      </c>
      <c r="S66" s="282">
        <v>2.1</v>
      </c>
      <c r="T66" s="282">
        <v>8.1</v>
      </c>
      <c r="U66" s="282">
        <v>8.1999999999999993</v>
      </c>
      <c r="V66" s="283">
        <v>7.8</v>
      </c>
      <c r="W66" s="265">
        <f t="shared" si="18"/>
        <v>147.39999999999998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53.500000000000007</v>
      </c>
      <c r="H67" s="268">
        <f t="shared" si="19"/>
        <v>53.5</v>
      </c>
      <c r="I67" s="122">
        <f t="shared" si="19"/>
        <v>57.5</v>
      </c>
      <c r="J67" s="120">
        <f t="shared" si="19"/>
        <v>52.4</v>
      </c>
      <c r="K67" s="120">
        <f t="shared" si="19"/>
        <v>57.3</v>
      </c>
      <c r="L67" s="120">
        <f t="shared" si="19"/>
        <v>10.9</v>
      </c>
      <c r="M67" s="120">
        <f t="shared" si="19"/>
        <v>55.2</v>
      </c>
      <c r="N67" s="120">
        <f t="shared" si="19"/>
        <v>54.999999999999993</v>
      </c>
      <c r="O67" s="121">
        <f t="shared" si="19"/>
        <v>55.899999999999991</v>
      </c>
      <c r="P67" s="122">
        <f t="shared" si="19"/>
        <v>56</v>
      </c>
      <c r="Q67" s="120">
        <f t="shared" si="19"/>
        <v>54.6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57.3</v>
      </c>
      <c r="V67" s="121">
        <f t="shared" si="19"/>
        <v>54.599999999999994</v>
      </c>
      <c r="W67" s="263">
        <f>SUM(W60:W66)</f>
        <v>1034.2000000000003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155.02923099985014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953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7.7891250000000003</v>
      </c>
      <c r="C70" s="358">
        <f t="shared" ref="C70:V70" si="20">((((C68*7)*C69)/1000)-(C60+C61+C62))/4</f>
        <v>7.7374999999999998</v>
      </c>
      <c r="D70" s="358">
        <f t="shared" si="20"/>
        <v>7.9033750000000005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7.5520000000000005</v>
      </c>
      <c r="H70" s="358">
        <f t="shared" si="20"/>
        <v>7.527000000000001</v>
      </c>
      <c r="I70" s="358">
        <f t="shared" si="20"/>
        <v>8.2012500000000017</v>
      </c>
      <c r="J70" s="358">
        <f t="shared" si="20"/>
        <v>7.4289999999999994</v>
      </c>
      <c r="K70" s="358">
        <f t="shared" si="20"/>
        <v>8.1548750000000005</v>
      </c>
      <c r="L70" s="358">
        <f t="shared" si="20"/>
        <v>1.3712499999999999</v>
      </c>
      <c r="M70" s="358">
        <f t="shared" si="20"/>
        <v>8.0141249999999999</v>
      </c>
      <c r="N70" s="358">
        <f t="shared" si="20"/>
        <v>7.8945000000000007</v>
      </c>
      <c r="O70" s="358">
        <f t="shared" si="20"/>
        <v>7.9185000000000016</v>
      </c>
      <c r="P70" s="358">
        <f t="shared" si="20"/>
        <v>7.96225</v>
      </c>
      <c r="Q70" s="358">
        <f t="shared" si="20"/>
        <v>7.75</v>
      </c>
      <c r="R70" s="358">
        <f t="shared" si="20"/>
        <v>7.8000000000000007</v>
      </c>
      <c r="S70" s="358">
        <f t="shared" si="20"/>
        <v>2.0217500000000004</v>
      </c>
      <c r="T70" s="358">
        <f t="shared" si="20"/>
        <v>8.0094999999999992</v>
      </c>
      <c r="U70" s="358">
        <f t="shared" si="20"/>
        <v>8.1048749999999998</v>
      </c>
      <c r="V70" s="358">
        <f t="shared" si="20"/>
        <v>7.8052500000000009</v>
      </c>
      <c r="W70" s="362">
        <f>((W67*1000)/7)/W69</f>
        <v>155.02923099985014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53.508000000000003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155.97667638483966</v>
      </c>
      <c r="H72" s="158">
        <f t="shared" si="22"/>
        <v>155.97667638483964</v>
      </c>
      <c r="I72" s="37">
        <f t="shared" si="22"/>
        <v>154.98652291105122</v>
      </c>
      <c r="J72" s="38">
        <f t="shared" si="22"/>
        <v>155.95238095238093</v>
      </c>
      <c r="K72" s="38">
        <f t="shared" si="22"/>
        <v>154.4474393530997</v>
      </c>
      <c r="L72" s="38">
        <f t="shared" si="22"/>
        <v>155.71428571428572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153.57142857142853</v>
      </c>
      <c r="P72" s="37">
        <f t="shared" si="22"/>
        <v>156.86274509803926</v>
      </c>
      <c r="Q72" s="38">
        <f t="shared" si="22"/>
        <v>156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7.9999999999955662E-3</v>
      </c>
      <c r="H73" s="42">
        <f t="shared" si="23"/>
        <v>8.0000000000026716E-3</v>
      </c>
      <c r="I73" s="42">
        <f t="shared" si="23"/>
        <v>5.000000000002558E-3</v>
      </c>
      <c r="J73" s="42">
        <f t="shared" si="23"/>
        <v>1.5999999999998238E-2</v>
      </c>
      <c r="K73" s="42">
        <f t="shared" si="23"/>
        <v>1.9500000000000739E-2</v>
      </c>
      <c r="L73" s="42">
        <f t="shared" si="23"/>
        <v>-1.5000000000000568E-2</v>
      </c>
      <c r="M73" s="42">
        <f t="shared" si="23"/>
        <v>-4.3500000000001648E-2</v>
      </c>
      <c r="N73" s="42">
        <f t="shared" si="23"/>
        <v>-2.199999999999136E-2</v>
      </c>
      <c r="O73" s="42">
        <f t="shared" si="23"/>
        <v>-2.5999999999989143E-2</v>
      </c>
      <c r="P73" s="42">
        <f t="shared" si="23"/>
        <v>4.8999999999999488E-2</v>
      </c>
      <c r="Q73" s="42">
        <f t="shared" si="23"/>
        <v>0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1.9500000000000739E-2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-2.3323615160336431E-2</v>
      </c>
      <c r="H74" s="42">
        <f t="shared" si="23"/>
        <v>-2.3323615160364852E-2</v>
      </c>
      <c r="I74" s="42">
        <f t="shared" si="23"/>
        <v>-1.3477088948775418E-2</v>
      </c>
      <c r="J74" s="42">
        <f t="shared" si="23"/>
        <v>-4.7619047619065213E-2</v>
      </c>
      <c r="K74" s="42">
        <f t="shared" si="23"/>
        <v>-5.2560646900303709E-2</v>
      </c>
      <c r="L74" s="42">
        <f t="shared" si="23"/>
        <v>0.21428571428572241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7.1428571428526766E-2</v>
      </c>
      <c r="P74" s="42">
        <f t="shared" si="23"/>
        <v>-0.13725490196074475</v>
      </c>
      <c r="Q74" s="42">
        <f>Q72-Q68</f>
        <v>0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54"/>
  <dimension ref="A1:AE244"/>
  <sheetViews>
    <sheetView topLeftCell="A13" zoomScale="25" zoomScaleNormal="25" workbookViewId="0">
      <selection activeCell="A19" sqref="A1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37</v>
      </c>
      <c r="Q11" s="1022"/>
      <c r="R11" s="6"/>
      <c r="S11" s="1" t="s">
        <v>6</v>
      </c>
      <c r="T11" s="95">
        <v>45643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92.6</v>
      </c>
      <c r="C18" s="282">
        <v>92.5</v>
      </c>
      <c r="D18" s="282">
        <v>91.2</v>
      </c>
      <c r="E18" s="282">
        <v>24.1</v>
      </c>
      <c r="F18" s="282">
        <v>93.2</v>
      </c>
      <c r="G18" s="282">
        <v>91.4</v>
      </c>
      <c r="H18" s="284">
        <v>93.9</v>
      </c>
      <c r="I18" s="285">
        <v>97.9</v>
      </c>
      <c r="J18" s="282">
        <v>96.6</v>
      </c>
      <c r="K18" s="282">
        <v>97.9</v>
      </c>
      <c r="L18" s="282">
        <v>28.3</v>
      </c>
      <c r="M18" s="282">
        <v>98.5</v>
      </c>
      <c r="N18" s="282">
        <v>98.6</v>
      </c>
      <c r="O18" s="282">
        <v>98</v>
      </c>
      <c r="P18" s="281">
        <v>98.6</v>
      </c>
      <c r="Q18" s="282">
        <v>99.4</v>
      </c>
      <c r="R18" s="282">
        <v>96.8</v>
      </c>
      <c r="S18" s="282">
        <v>27</v>
      </c>
      <c r="T18" s="282">
        <v>98.4</v>
      </c>
      <c r="U18" s="282">
        <v>97</v>
      </c>
      <c r="V18" s="284">
        <v>98.3</v>
      </c>
      <c r="W18" s="538">
        <f t="shared" ref="W18:W24" si="0">SUM(B18:V18)</f>
        <v>1810.1999999999998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92.6</v>
      </c>
      <c r="C19" s="282">
        <v>92.5</v>
      </c>
      <c r="D19" s="282">
        <v>91.2</v>
      </c>
      <c r="E19" s="282">
        <v>24.1</v>
      </c>
      <c r="F19" s="282">
        <v>93.2</v>
      </c>
      <c r="G19" s="282">
        <v>91.4</v>
      </c>
      <c r="H19" s="284">
        <v>93.9</v>
      </c>
      <c r="I19" s="285">
        <v>97.9</v>
      </c>
      <c r="J19" s="282">
        <v>96.6</v>
      </c>
      <c r="K19" s="282">
        <v>97.9</v>
      </c>
      <c r="L19" s="282">
        <v>28.3</v>
      </c>
      <c r="M19" s="282">
        <v>98.5</v>
      </c>
      <c r="N19" s="282">
        <v>98.6</v>
      </c>
      <c r="O19" s="282">
        <v>98</v>
      </c>
      <c r="P19" s="281">
        <v>98.6</v>
      </c>
      <c r="Q19" s="282">
        <v>99.4</v>
      </c>
      <c r="R19" s="282">
        <v>96.8</v>
      </c>
      <c r="S19" s="282">
        <v>27</v>
      </c>
      <c r="T19" s="282">
        <v>98.4</v>
      </c>
      <c r="U19" s="282">
        <v>97</v>
      </c>
      <c r="V19" s="284">
        <v>98.3</v>
      </c>
      <c r="W19" s="538">
        <f>SUM(B19:V19)</f>
        <v>1810.1999999999998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91.8</v>
      </c>
      <c r="C20" s="282">
        <v>92.3</v>
      </c>
      <c r="D20" s="282">
        <v>91</v>
      </c>
      <c r="E20" s="282">
        <v>25.3</v>
      </c>
      <c r="F20" s="282">
        <v>93.6</v>
      </c>
      <c r="G20" s="282">
        <v>91.6</v>
      </c>
      <c r="H20" s="284">
        <v>93.2</v>
      </c>
      <c r="I20" s="285">
        <v>96.7</v>
      </c>
      <c r="J20" s="282">
        <v>96.1</v>
      </c>
      <c r="K20" s="282">
        <v>97.4</v>
      </c>
      <c r="L20" s="282">
        <v>27</v>
      </c>
      <c r="M20" s="282">
        <v>96.7</v>
      </c>
      <c r="N20" s="282">
        <v>98.2</v>
      </c>
      <c r="O20" s="282">
        <v>97.4</v>
      </c>
      <c r="P20" s="281">
        <v>98.2</v>
      </c>
      <c r="Q20" s="282">
        <v>99.2</v>
      </c>
      <c r="R20" s="282">
        <v>97.2</v>
      </c>
      <c r="S20" s="282">
        <v>28.1</v>
      </c>
      <c r="T20" s="282">
        <v>98.1</v>
      </c>
      <c r="U20" s="282">
        <v>97.8</v>
      </c>
      <c r="V20" s="284">
        <v>97.7</v>
      </c>
      <c r="W20" s="538">
        <f t="shared" si="0"/>
        <v>1804.6000000000001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91.8</v>
      </c>
      <c r="C21" s="282">
        <v>92.1</v>
      </c>
      <c r="D21" s="282">
        <v>91</v>
      </c>
      <c r="E21" s="282">
        <v>25.3</v>
      </c>
      <c r="F21" s="282">
        <v>93.3</v>
      </c>
      <c r="G21" s="282">
        <v>91.6</v>
      </c>
      <c r="H21" s="284">
        <v>93.1</v>
      </c>
      <c r="I21" s="285">
        <v>96.7</v>
      </c>
      <c r="J21" s="282">
        <v>96.1</v>
      </c>
      <c r="K21" s="282">
        <v>97.4</v>
      </c>
      <c r="L21" s="282">
        <v>27</v>
      </c>
      <c r="M21" s="282">
        <v>96.5</v>
      </c>
      <c r="N21" s="282">
        <v>98.2</v>
      </c>
      <c r="O21" s="282">
        <v>97.4</v>
      </c>
      <c r="P21" s="281">
        <v>98.2</v>
      </c>
      <c r="Q21" s="282">
        <v>99.1</v>
      </c>
      <c r="R21" s="282">
        <v>97.2</v>
      </c>
      <c r="S21" s="282">
        <v>28</v>
      </c>
      <c r="T21" s="282">
        <v>98.1</v>
      </c>
      <c r="U21" s="282">
        <v>97.8</v>
      </c>
      <c r="V21" s="284">
        <v>97.7</v>
      </c>
      <c r="W21" s="538">
        <f t="shared" si="0"/>
        <v>1803.6000000000001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91.8</v>
      </c>
      <c r="C22" s="282">
        <v>92.1</v>
      </c>
      <c r="D22" s="282">
        <v>91</v>
      </c>
      <c r="E22" s="282">
        <v>25.3</v>
      </c>
      <c r="F22" s="282">
        <v>93.3</v>
      </c>
      <c r="G22" s="282">
        <v>91.3</v>
      </c>
      <c r="H22" s="284">
        <v>93.1</v>
      </c>
      <c r="I22" s="285">
        <v>96.7</v>
      </c>
      <c r="J22" s="282">
        <v>95.8</v>
      </c>
      <c r="K22" s="282">
        <v>97.4</v>
      </c>
      <c r="L22" s="282">
        <v>26.7</v>
      </c>
      <c r="M22" s="282">
        <v>95.7</v>
      </c>
      <c r="N22" s="282">
        <v>98.2</v>
      </c>
      <c r="O22" s="282">
        <v>97.4</v>
      </c>
      <c r="P22" s="281">
        <v>98.2</v>
      </c>
      <c r="Q22" s="282">
        <v>99</v>
      </c>
      <c r="R22" s="282">
        <v>96.8</v>
      </c>
      <c r="S22" s="282">
        <v>27.7</v>
      </c>
      <c r="T22" s="282">
        <v>98.1</v>
      </c>
      <c r="U22" s="282">
        <v>97.3</v>
      </c>
      <c r="V22" s="284">
        <v>97.3</v>
      </c>
      <c r="W22" s="538">
        <f t="shared" si="0"/>
        <v>1800.2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91.9</v>
      </c>
      <c r="C23" s="282">
        <v>92</v>
      </c>
      <c r="D23" s="282">
        <v>91.1</v>
      </c>
      <c r="E23" s="282">
        <v>24.8</v>
      </c>
      <c r="F23" s="282">
        <v>93.4</v>
      </c>
      <c r="G23" s="282">
        <v>91.3</v>
      </c>
      <c r="H23" s="284">
        <v>93.1</v>
      </c>
      <c r="I23" s="285">
        <v>96.2</v>
      </c>
      <c r="J23" s="282">
        <v>95.7</v>
      </c>
      <c r="K23" s="282">
        <v>97.4</v>
      </c>
      <c r="L23" s="282">
        <v>26.7</v>
      </c>
      <c r="M23" s="282">
        <v>95.6</v>
      </c>
      <c r="N23" s="282">
        <v>98.3</v>
      </c>
      <c r="O23" s="282">
        <v>97.3</v>
      </c>
      <c r="P23" s="281">
        <v>98.3</v>
      </c>
      <c r="Q23" s="282">
        <v>99</v>
      </c>
      <c r="R23" s="282">
        <v>96.8</v>
      </c>
      <c r="S23" s="282">
        <v>27.6</v>
      </c>
      <c r="T23" s="282">
        <v>98.1</v>
      </c>
      <c r="U23" s="282">
        <v>97.3</v>
      </c>
      <c r="V23" s="284">
        <v>97.3</v>
      </c>
      <c r="W23" s="98">
        <f t="shared" si="0"/>
        <v>1799.1999999999998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92</v>
      </c>
      <c r="D24" s="282">
        <v>91.1</v>
      </c>
      <c r="E24" s="282">
        <v>24.9</v>
      </c>
      <c r="F24" s="282">
        <v>93.4</v>
      </c>
      <c r="G24" s="282">
        <v>91.3</v>
      </c>
      <c r="H24" s="284">
        <v>93.1</v>
      </c>
      <c r="I24" s="285">
        <v>96.2</v>
      </c>
      <c r="J24" s="282">
        <v>95.7</v>
      </c>
      <c r="K24" s="282">
        <v>97.4</v>
      </c>
      <c r="L24" s="282">
        <v>26.7</v>
      </c>
      <c r="M24" s="282">
        <v>95.6</v>
      </c>
      <c r="N24" s="282">
        <v>98.3</v>
      </c>
      <c r="O24" s="282">
        <v>97.3</v>
      </c>
      <c r="P24" s="281">
        <v>98.3</v>
      </c>
      <c r="Q24" s="282">
        <v>99</v>
      </c>
      <c r="R24" s="282">
        <v>96.7</v>
      </c>
      <c r="S24" s="282">
        <v>27.6</v>
      </c>
      <c r="T24" s="282">
        <v>98.1</v>
      </c>
      <c r="U24" s="282">
        <v>97.4</v>
      </c>
      <c r="V24" s="284">
        <v>97.3</v>
      </c>
      <c r="W24" s="98">
        <f t="shared" si="0"/>
        <v>1799.3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644.4</v>
      </c>
      <c r="C25" s="120">
        <f>SUM(C18:C24)</f>
        <v>645.5</v>
      </c>
      <c r="D25" s="120">
        <f t="shared" ref="D25:V25" si="1">SUM(D18:D24)</f>
        <v>637.6</v>
      </c>
      <c r="E25" s="120">
        <f>SUM(E18:E24)</f>
        <v>173.8</v>
      </c>
      <c r="F25" s="120">
        <f t="shared" si="1"/>
        <v>653.4</v>
      </c>
      <c r="G25" s="120">
        <f t="shared" si="1"/>
        <v>639.9</v>
      </c>
      <c r="H25" s="121">
        <f t="shared" si="1"/>
        <v>653.40000000000009</v>
      </c>
      <c r="I25" s="122">
        <f t="shared" si="1"/>
        <v>678.30000000000007</v>
      </c>
      <c r="J25" s="120">
        <f t="shared" si="1"/>
        <v>672.6</v>
      </c>
      <c r="K25" s="120">
        <f t="shared" si="1"/>
        <v>682.8</v>
      </c>
      <c r="L25" s="120">
        <f t="shared" si="1"/>
        <v>190.69999999999996</v>
      </c>
      <c r="M25" s="120">
        <f t="shared" si="1"/>
        <v>677.1</v>
      </c>
      <c r="N25" s="120">
        <f t="shared" si="1"/>
        <v>688.39999999999986</v>
      </c>
      <c r="O25" s="121">
        <f t="shared" si="1"/>
        <v>682.79999999999984</v>
      </c>
      <c r="P25" s="122">
        <f t="shared" si="1"/>
        <v>688.39999999999986</v>
      </c>
      <c r="Q25" s="120">
        <f t="shared" si="1"/>
        <v>694.1</v>
      </c>
      <c r="R25" s="120">
        <f t="shared" si="1"/>
        <v>678.30000000000007</v>
      </c>
      <c r="S25" s="120">
        <f>SUM(S18:S24)</f>
        <v>192.99999999999997</v>
      </c>
      <c r="T25" s="120">
        <f t="shared" si="1"/>
        <v>687.30000000000007</v>
      </c>
      <c r="U25" s="120">
        <f t="shared" si="1"/>
        <v>681.6</v>
      </c>
      <c r="V25" s="121">
        <f t="shared" si="1"/>
        <v>683.9</v>
      </c>
      <c r="W25" s="361">
        <f>SUM(W18:W24)</f>
        <v>12627.3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161.21999999999994</v>
      </c>
      <c r="C26" s="487">
        <v>161.21999999999994</v>
      </c>
      <c r="D26" s="487">
        <v>161.21999999999994</v>
      </c>
      <c r="E26" s="487">
        <v>161.21999999999994</v>
      </c>
      <c r="F26" s="487">
        <v>161.21999999999994</v>
      </c>
      <c r="G26" s="487">
        <v>161.21999999999994</v>
      </c>
      <c r="H26" s="487">
        <v>161.21999999999994</v>
      </c>
      <c r="I26" s="487">
        <v>161.21999999999994</v>
      </c>
      <c r="J26" s="487">
        <v>161.21999999999994</v>
      </c>
      <c r="K26" s="487">
        <v>161.21999999999994</v>
      </c>
      <c r="L26" s="487">
        <v>161.21999999999994</v>
      </c>
      <c r="M26" s="487">
        <v>161.21999999999994</v>
      </c>
      <c r="N26" s="487">
        <v>161.21999999999994</v>
      </c>
      <c r="O26" s="487">
        <v>161.21999999999994</v>
      </c>
      <c r="P26" s="487">
        <v>161.21999999999994</v>
      </c>
      <c r="Q26" s="487">
        <v>161.21999999999994</v>
      </c>
      <c r="R26" s="487">
        <v>161.21999999999994</v>
      </c>
      <c r="S26" s="487">
        <v>161.21999999999994</v>
      </c>
      <c r="T26" s="487">
        <v>161.21999999999994</v>
      </c>
      <c r="U26" s="487">
        <v>161.21999999999994</v>
      </c>
      <c r="V26" s="487">
        <v>161.21999999999994</v>
      </c>
      <c r="W26" s="99">
        <f>((W25/W27)/7)*1000</f>
        <v>161.22084189829297</v>
      </c>
    </row>
    <row r="27" spans="1:31" s="2" customFormat="1" ht="33" customHeight="1" x14ac:dyDescent="0.25">
      <c r="A27" s="149" t="s">
        <v>12</v>
      </c>
      <c r="B27" s="26">
        <v>571</v>
      </c>
      <c r="C27" s="27">
        <v>572</v>
      </c>
      <c r="D27" s="27">
        <v>565</v>
      </c>
      <c r="E27" s="27">
        <v>154</v>
      </c>
      <c r="F27" s="27">
        <v>579</v>
      </c>
      <c r="G27" s="27">
        <v>567</v>
      </c>
      <c r="H27" s="28">
        <v>579</v>
      </c>
      <c r="I27" s="26">
        <v>601</v>
      </c>
      <c r="J27" s="27">
        <v>596</v>
      </c>
      <c r="K27" s="27">
        <v>605</v>
      </c>
      <c r="L27" s="27">
        <v>169</v>
      </c>
      <c r="M27" s="27">
        <v>600</v>
      </c>
      <c r="N27" s="27">
        <v>610</v>
      </c>
      <c r="O27" s="28">
        <v>605</v>
      </c>
      <c r="P27" s="26">
        <v>610</v>
      </c>
      <c r="Q27" s="27">
        <v>615</v>
      </c>
      <c r="R27" s="27">
        <v>601</v>
      </c>
      <c r="S27" s="27">
        <v>171</v>
      </c>
      <c r="T27" s="27">
        <v>609</v>
      </c>
      <c r="U27" s="27">
        <v>604</v>
      </c>
      <c r="V27" s="28">
        <v>606</v>
      </c>
      <c r="W27" s="29">
        <f>SUM(B27:V27)</f>
        <v>11189</v>
      </c>
    </row>
    <row r="28" spans="1:31" s="2" customFormat="1" ht="33" customHeight="1" x14ac:dyDescent="0.25">
      <c r="A28" s="150" t="s">
        <v>13</v>
      </c>
      <c r="B28" s="30">
        <f>(((((B26*7)*B27)/1000)-(B18+B19))/5)</f>
        <v>91.839267999999961</v>
      </c>
      <c r="C28" s="30">
        <f t="shared" ref="C28:V28" si="2">(((((C26*7)*C27)/1000)-(C18+C19))/5)</f>
        <v>92.104975999999965</v>
      </c>
      <c r="D28" s="30">
        <f t="shared" si="2"/>
        <v>91.045019999999951</v>
      </c>
      <c r="E28" s="30">
        <f t="shared" si="2"/>
        <v>25.119031999999983</v>
      </c>
      <c r="F28" s="30">
        <f t="shared" si="2"/>
        <v>93.404931999999945</v>
      </c>
      <c r="G28" s="30">
        <f t="shared" si="2"/>
        <v>91.416435999999948</v>
      </c>
      <c r="H28" s="30">
        <f t="shared" si="2"/>
        <v>93.12493199999993</v>
      </c>
      <c r="I28" s="30">
        <f t="shared" si="2"/>
        <v>96.490507999999949</v>
      </c>
      <c r="J28" s="30">
        <f t="shared" si="2"/>
        <v>95.881967999999944</v>
      </c>
      <c r="K28" s="30">
        <f t="shared" si="2"/>
        <v>97.393339999999938</v>
      </c>
      <c r="L28" s="30">
        <f t="shared" si="2"/>
        <v>26.824651999999986</v>
      </c>
      <c r="M28" s="30">
        <f t="shared" si="2"/>
        <v>96.024799999999942</v>
      </c>
      <c r="N28" s="30">
        <f t="shared" si="2"/>
        <v>98.241879999999938</v>
      </c>
      <c r="O28" s="30">
        <f t="shared" si="2"/>
        <v>97.353339999999932</v>
      </c>
      <c r="P28" s="30">
        <f t="shared" si="2"/>
        <v>98.241879999999938</v>
      </c>
      <c r="Q28" s="30">
        <f t="shared" si="2"/>
        <v>99.050419999999946</v>
      </c>
      <c r="R28" s="30">
        <f t="shared" si="2"/>
        <v>96.930507999999946</v>
      </c>
      <c r="S28" s="30">
        <f t="shared" si="2"/>
        <v>27.79606799999998</v>
      </c>
      <c r="T28" s="30">
        <f t="shared" si="2"/>
        <v>98.096171999999939</v>
      </c>
      <c r="U28" s="30">
        <f t="shared" si="2"/>
        <v>97.527631999999926</v>
      </c>
      <c r="V28" s="30">
        <f t="shared" si="2"/>
        <v>97.459047999999939</v>
      </c>
      <c r="W28" s="362">
        <f>((W25*1000)/7)/W27</f>
        <v>161.22084189829297</v>
      </c>
    </row>
    <row r="29" spans="1:31" ht="33.75" customHeight="1" x14ac:dyDescent="0.25">
      <c r="A29" s="151" t="s">
        <v>14</v>
      </c>
      <c r="B29" s="281">
        <f>((B27*B26)*7)/1000</f>
        <v>644.39633999999978</v>
      </c>
      <c r="C29" s="282">
        <f>((C27*C26)*7)/1000</f>
        <v>645.52487999999983</v>
      </c>
      <c r="D29" s="282">
        <f t="shared" ref="D29:V29" si="3">((D27*D26)*7)/1000</f>
        <v>637.62509999999986</v>
      </c>
      <c r="E29" s="282">
        <f t="shared" si="3"/>
        <v>173.79515999999992</v>
      </c>
      <c r="F29" s="282">
        <f t="shared" si="3"/>
        <v>653.42465999999968</v>
      </c>
      <c r="G29" s="282">
        <f t="shared" si="3"/>
        <v>639.88217999999972</v>
      </c>
      <c r="H29" s="284">
        <f t="shared" si="3"/>
        <v>653.42465999999968</v>
      </c>
      <c r="I29" s="281">
        <f t="shared" si="3"/>
        <v>678.25253999999984</v>
      </c>
      <c r="J29" s="282">
        <f t="shared" si="3"/>
        <v>672.60983999999974</v>
      </c>
      <c r="K29" s="282">
        <f t="shared" si="3"/>
        <v>682.76669999999967</v>
      </c>
      <c r="L29" s="282">
        <f t="shared" si="3"/>
        <v>190.72325999999993</v>
      </c>
      <c r="M29" s="282">
        <f t="shared" si="3"/>
        <v>677.1239999999998</v>
      </c>
      <c r="N29" s="282">
        <f t="shared" si="3"/>
        <v>688.40939999999978</v>
      </c>
      <c r="O29" s="284">
        <f t="shared" si="3"/>
        <v>682.76669999999967</v>
      </c>
      <c r="P29" s="281">
        <f t="shared" si="3"/>
        <v>688.40939999999978</v>
      </c>
      <c r="Q29" s="282">
        <f t="shared" si="3"/>
        <v>694.05209999999977</v>
      </c>
      <c r="R29" s="282">
        <f t="shared" si="3"/>
        <v>678.25253999999984</v>
      </c>
      <c r="S29" s="282">
        <f t="shared" si="3"/>
        <v>192.98033999999993</v>
      </c>
      <c r="T29" s="282">
        <f t="shared" si="3"/>
        <v>687.28085999999973</v>
      </c>
      <c r="U29" s="282">
        <f t="shared" si="3"/>
        <v>681.63815999999963</v>
      </c>
      <c r="V29" s="284">
        <f t="shared" si="3"/>
        <v>683.89523999999972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161.22091568676507</v>
      </c>
      <c r="C30" s="38">
        <f t="shared" ref="C30:V30" si="4">+(C25/C27)/7*1000</f>
        <v>161.21378621378622</v>
      </c>
      <c r="D30" s="38">
        <f t="shared" si="4"/>
        <v>161.21365360303415</v>
      </c>
      <c r="E30" s="38">
        <f t="shared" si="4"/>
        <v>161.22448979591834</v>
      </c>
      <c r="F30" s="38">
        <f t="shared" si="4"/>
        <v>161.2139156180607</v>
      </c>
      <c r="G30" s="38">
        <f t="shared" si="4"/>
        <v>161.22448979591834</v>
      </c>
      <c r="H30" s="39">
        <f t="shared" si="4"/>
        <v>161.21391561806072</v>
      </c>
      <c r="I30" s="37">
        <f t="shared" si="4"/>
        <v>161.23128119800336</v>
      </c>
      <c r="J30" s="38">
        <f t="shared" si="4"/>
        <v>161.2176414189837</v>
      </c>
      <c r="K30" s="38">
        <f t="shared" si="4"/>
        <v>161.22786304604486</v>
      </c>
      <c r="L30" s="38">
        <f t="shared" si="4"/>
        <v>161.20033812341504</v>
      </c>
      <c r="M30" s="38">
        <f t="shared" si="4"/>
        <v>161.21428571428572</v>
      </c>
      <c r="N30" s="38">
        <f t="shared" si="4"/>
        <v>161.21779859484775</v>
      </c>
      <c r="O30" s="39">
        <f t="shared" si="4"/>
        <v>161.22786304604483</v>
      </c>
      <c r="P30" s="37">
        <f t="shared" si="4"/>
        <v>161.21779859484775</v>
      </c>
      <c r="Q30" s="38">
        <f t="shared" si="4"/>
        <v>161.23112659698026</v>
      </c>
      <c r="R30" s="38">
        <f t="shared" si="4"/>
        <v>161.23128119800336</v>
      </c>
      <c r="S30" s="38">
        <f t="shared" si="4"/>
        <v>161.23642439431913</v>
      </c>
      <c r="T30" s="38">
        <f t="shared" si="4"/>
        <v>161.22448979591837</v>
      </c>
      <c r="U30" s="38">
        <f t="shared" si="4"/>
        <v>161.21097445600756</v>
      </c>
      <c r="V30" s="39">
        <f t="shared" si="4"/>
        <v>161.22112211221125</v>
      </c>
      <c r="W30" s="40"/>
    </row>
    <row r="31" spans="1:31" ht="33.75" customHeight="1" x14ac:dyDescent="0.25">
      <c r="A31" s="41"/>
      <c r="B31" s="42">
        <f>B29-B25</f>
        <v>-3.6600000001953958E-3</v>
      </c>
      <c r="C31" s="42">
        <f t="shared" ref="C31:V32" si="5">C29-C25</f>
        <v>2.4879999999825486E-2</v>
      </c>
      <c r="D31" s="42">
        <f t="shared" si="5"/>
        <v>2.5099999999838474E-2</v>
      </c>
      <c r="E31" s="42">
        <f t="shared" si="5"/>
        <v>-4.8400000000867749E-3</v>
      </c>
      <c r="F31" s="42">
        <f t="shared" si="5"/>
        <v>2.4659999999698812E-2</v>
      </c>
      <c r="G31" s="42">
        <f t="shared" si="5"/>
        <v>-1.7820000000256186E-2</v>
      </c>
      <c r="H31" s="42">
        <f t="shared" si="5"/>
        <v>2.4659999999585125E-2</v>
      </c>
      <c r="I31" s="42">
        <f t="shared" si="5"/>
        <v>-4.746000000022832E-2</v>
      </c>
      <c r="J31" s="42">
        <f t="shared" si="5"/>
        <v>9.8399999997127452E-3</v>
      </c>
      <c r="K31" s="42">
        <f t="shared" si="5"/>
        <v>-3.3300000000281216E-2</v>
      </c>
      <c r="L31" s="42">
        <f t="shared" si="5"/>
        <v>2.3259999999964975E-2</v>
      </c>
      <c r="M31" s="42">
        <f t="shared" si="5"/>
        <v>2.3999999999773536E-2</v>
      </c>
      <c r="N31" s="42">
        <f t="shared" si="5"/>
        <v>9.3999999999141437E-3</v>
      </c>
      <c r="O31" s="42">
        <f t="shared" si="5"/>
        <v>-3.3300000000167529E-2</v>
      </c>
      <c r="P31" s="42">
        <f t="shared" si="5"/>
        <v>9.3999999999141437E-3</v>
      </c>
      <c r="Q31" s="42">
        <f t="shared" si="5"/>
        <v>-4.7900000000254295E-2</v>
      </c>
      <c r="R31" s="42">
        <f t="shared" si="5"/>
        <v>-4.746000000022832E-2</v>
      </c>
      <c r="S31" s="42">
        <f t="shared" si="5"/>
        <v>-1.966000000004442E-2</v>
      </c>
      <c r="T31" s="42">
        <f t="shared" si="5"/>
        <v>-1.9140000000334112E-2</v>
      </c>
      <c r="U31" s="42">
        <f t="shared" si="5"/>
        <v>3.8159999999606953E-2</v>
      </c>
      <c r="V31" s="42">
        <f t="shared" si="5"/>
        <v>-4.7600000002603338E-3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9.1568676512565617E-4</v>
      </c>
      <c r="C32" s="42">
        <f t="shared" si="5"/>
        <v>-6.2137862137205957E-3</v>
      </c>
      <c r="D32" s="42">
        <f t="shared" si="5"/>
        <v>-6.3463969657959751E-3</v>
      </c>
      <c r="E32" s="42">
        <f t="shared" si="5"/>
        <v>4.4897959184027059E-3</v>
      </c>
      <c r="F32" s="42">
        <f t="shared" si="5"/>
        <v>-6.0843819392459864E-3</v>
      </c>
      <c r="G32" s="42">
        <f t="shared" si="5"/>
        <v>4.4897959184027059E-3</v>
      </c>
      <c r="H32" s="42">
        <f t="shared" si="5"/>
        <v>-6.0843819392175646E-3</v>
      </c>
      <c r="I32" s="42">
        <f t="shared" si="5"/>
        <v>1.1281198003416648E-2</v>
      </c>
      <c r="J32" s="42">
        <f t="shared" si="5"/>
        <v>-2.3585810162387588E-3</v>
      </c>
      <c r="K32" s="42">
        <f t="shared" si="5"/>
        <v>7.8630460449176098E-3</v>
      </c>
      <c r="L32" s="42">
        <f t="shared" si="5"/>
        <v>-1.9661876584905258E-2</v>
      </c>
      <c r="M32" s="42">
        <f t="shared" si="5"/>
        <v>-5.7142857142196135E-3</v>
      </c>
      <c r="N32" s="42">
        <f t="shared" si="5"/>
        <v>-2.2014051521921374E-3</v>
      </c>
      <c r="O32" s="42">
        <f t="shared" si="5"/>
        <v>7.8630460448891881E-3</v>
      </c>
      <c r="P32" s="42">
        <f t="shared" si="5"/>
        <v>-2.2014051521921374E-3</v>
      </c>
      <c r="Q32" s="42">
        <f>Q30-Q26</f>
        <v>1.1126596980318482E-2</v>
      </c>
      <c r="R32" s="42">
        <f t="shared" si="5"/>
        <v>1.1281198003416648E-2</v>
      </c>
      <c r="S32" s="42">
        <f t="shared" si="5"/>
        <v>1.6424394319187741E-2</v>
      </c>
      <c r="T32" s="42">
        <f t="shared" si="5"/>
        <v>4.4897959184311276E-3</v>
      </c>
      <c r="U32" s="42">
        <f t="shared" si="5"/>
        <v>-9.0255439923794256E-3</v>
      </c>
      <c r="V32" s="42">
        <f t="shared" si="5"/>
        <v>1.1221122113056481E-3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86.6</v>
      </c>
      <c r="D39" s="282">
        <v>20.5</v>
      </c>
      <c r="E39" s="282">
        <v>90.9</v>
      </c>
      <c r="F39" s="282">
        <v>89.7</v>
      </c>
      <c r="G39" s="284">
        <v>93</v>
      </c>
      <c r="H39" s="540">
        <f t="shared" ref="H39:H46" si="6">SUM(B39:G39)</f>
        <v>468.99999999999994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88.3</v>
      </c>
      <c r="C40" s="282">
        <v>86.6</v>
      </c>
      <c r="D40" s="282">
        <v>20.5</v>
      </c>
      <c r="E40" s="282">
        <v>90.9</v>
      </c>
      <c r="F40" s="282">
        <v>89.7</v>
      </c>
      <c r="G40" s="284">
        <v>93</v>
      </c>
      <c r="H40" s="539">
        <f t="shared" si="6"/>
        <v>468.99999999999994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88.3</v>
      </c>
      <c r="C41" s="282">
        <v>90.2</v>
      </c>
      <c r="D41" s="282">
        <v>19.899999999999999</v>
      </c>
      <c r="E41" s="282">
        <v>91.8</v>
      </c>
      <c r="F41" s="282">
        <v>90.6</v>
      </c>
      <c r="G41" s="284">
        <v>91.1</v>
      </c>
      <c r="H41" s="539">
        <f t="shared" si="6"/>
        <v>471.9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88.3</v>
      </c>
      <c r="C42" s="282">
        <v>90.2</v>
      </c>
      <c r="D42" s="282">
        <v>19.7</v>
      </c>
      <c r="E42" s="282">
        <v>91.8</v>
      </c>
      <c r="F42" s="282">
        <v>90.6</v>
      </c>
      <c r="G42" s="284">
        <v>91.1</v>
      </c>
      <c r="H42" s="539">
        <f t="shared" si="6"/>
        <v>471.70000000000005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88.3</v>
      </c>
      <c r="C43" s="282">
        <v>90.1</v>
      </c>
      <c r="D43" s="282">
        <v>19.600000000000001</v>
      </c>
      <c r="E43" s="282">
        <v>91.7</v>
      </c>
      <c r="F43" s="282">
        <v>90.7</v>
      </c>
      <c r="G43" s="284">
        <v>91.1</v>
      </c>
      <c r="H43" s="539">
        <f t="shared" si="6"/>
        <v>471.5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90.1</v>
      </c>
      <c r="D44" s="282">
        <v>19.600000000000001</v>
      </c>
      <c r="E44" s="282">
        <v>91.1</v>
      </c>
      <c r="F44" s="282">
        <v>90.7</v>
      </c>
      <c r="G44" s="284">
        <v>91.1</v>
      </c>
      <c r="H44" s="264">
        <f t="shared" si="6"/>
        <v>470.4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90.1</v>
      </c>
      <c r="D45" s="282">
        <v>19.600000000000001</v>
      </c>
      <c r="E45" s="282">
        <v>91.1</v>
      </c>
      <c r="F45" s="282">
        <v>90.7</v>
      </c>
      <c r="G45" s="284">
        <v>91.2</v>
      </c>
      <c r="H45" s="265">
        <f t="shared" si="6"/>
        <v>470.59999999999997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617.19999999999993</v>
      </c>
      <c r="C46" s="120">
        <f t="shared" si="8"/>
        <v>623.9</v>
      </c>
      <c r="D46" s="120">
        <f t="shared" si="8"/>
        <v>139.39999999999998</v>
      </c>
      <c r="E46" s="120">
        <f t="shared" si="8"/>
        <v>639.30000000000007</v>
      </c>
      <c r="F46" s="120">
        <f t="shared" si="8"/>
        <v>632.70000000000005</v>
      </c>
      <c r="G46" s="121">
        <f t="shared" si="8"/>
        <v>641.60000000000014</v>
      </c>
      <c r="H46" s="560">
        <f t="shared" si="6"/>
        <v>3294.1000000000004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158.01999999999998</v>
      </c>
      <c r="C47" s="555">
        <v>158.01999999999998</v>
      </c>
      <c r="D47" s="555">
        <v>158.01999999999998</v>
      </c>
      <c r="E47" s="555">
        <v>158.01999999999998</v>
      </c>
      <c r="F47" s="555">
        <v>158.01999999999998</v>
      </c>
      <c r="G47" s="555">
        <v>158.01999999999998</v>
      </c>
      <c r="H47" s="234">
        <f>+((H46/H48)/7)*1000</f>
        <v>158.0207234001727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564</v>
      </c>
      <c r="D48" s="27">
        <v>126</v>
      </c>
      <c r="E48" s="27">
        <v>578</v>
      </c>
      <c r="F48" s="27">
        <v>572</v>
      </c>
      <c r="G48" s="28">
        <v>580</v>
      </c>
      <c r="H48" s="256">
        <f>SUM(B48:G48)</f>
        <v>2978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88.125223999999974</v>
      </c>
      <c r="C49" s="30">
        <f t="shared" ref="C49:G49" si="10">(((((C47*7)*C48)/1000)-(C39+C40))/5)</f>
        <v>90.132591999999988</v>
      </c>
      <c r="D49" s="30">
        <f t="shared" si="10"/>
        <v>19.674727999999998</v>
      </c>
      <c r="E49" s="30">
        <f t="shared" si="10"/>
        <v>91.509783999999982</v>
      </c>
      <c r="F49" s="30">
        <f t="shared" si="10"/>
        <v>90.662416000000007</v>
      </c>
      <c r="G49" s="30">
        <f t="shared" si="10"/>
        <v>91.11224</v>
      </c>
      <c r="H49" s="257">
        <f>((H46*1000)/H48)/7</f>
        <v>158.02072340017273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617.22611999999992</v>
      </c>
      <c r="C50" s="282">
        <f t="shared" ref="C50:G50" si="12">((C48*C47)*7)/1000</f>
        <v>623.86295999999982</v>
      </c>
      <c r="D50" s="282">
        <f t="shared" si="12"/>
        <v>139.37363999999999</v>
      </c>
      <c r="E50" s="282">
        <f t="shared" si="12"/>
        <v>639.34891999999991</v>
      </c>
      <c r="F50" s="282">
        <f t="shared" si="12"/>
        <v>632.71208000000001</v>
      </c>
      <c r="G50" s="284">
        <f t="shared" si="12"/>
        <v>641.56119999999999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158.01331285202249</v>
      </c>
      <c r="C51" s="38">
        <f t="shared" si="14"/>
        <v>158.0293819655522</v>
      </c>
      <c r="D51" s="38">
        <f t="shared" si="14"/>
        <v>158.04988662131515</v>
      </c>
      <c r="E51" s="38">
        <f t="shared" si="14"/>
        <v>158.00790904597133</v>
      </c>
      <c r="F51" s="38">
        <f t="shared" si="14"/>
        <v>158.01698301698303</v>
      </c>
      <c r="G51" s="39">
        <f t="shared" si="14"/>
        <v>158.02955665024635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2.6119999999991705E-2</v>
      </c>
      <c r="C52" s="42">
        <f t="shared" ref="C52:G53" si="16">C50-C46</f>
        <v>-3.7040000000160944E-2</v>
      </c>
      <c r="D52" s="42">
        <f t="shared" si="16"/>
        <v>-2.635999999998262E-2</v>
      </c>
      <c r="E52" s="42">
        <f t="shared" si="16"/>
        <v>4.8919999999839092E-2</v>
      </c>
      <c r="F52" s="42">
        <f t="shared" si="16"/>
        <v>1.2079999999969004E-2</v>
      </c>
      <c r="G52" s="42">
        <f t="shared" si="16"/>
        <v>-3.8800000000151158E-2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-6.6871479774874842E-3</v>
      </c>
      <c r="C53" s="42">
        <f t="shared" si="16"/>
        <v>9.3819655522224821E-3</v>
      </c>
      <c r="D53" s="42">
        <f t="shared" si="16"/>
        <v>2.9886621315171169E-2</v>
      </c>
      <c r="E53" s="42">
        <f t="shared" si="16"/>
        <v>-1.2090954028650458E-2</v>
      </c>
      <c r="F53" s="42">
        <f t="shared" si="16"/>
        <v>-3.0169830169484158E-3</v>
      </c>
      <c r="G53" s="42">
        <f t="shared" si="16"/>
        <v>9.5566502463668712E-3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61"/>
      <c r="C54" s="1061"/>
      <c r="D54" s="106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2.2000000000000002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1.1000000000000001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2.2000000000000002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1.1000000000000001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2.2000000000000002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1.5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148.10000000000002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2.2000000000000002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1.5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148.4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2.2000000000000002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1.5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2.1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1.6</v>
      </c>
      <c r="M65" s="561">
        <v>7.8</v>
      </c>
      <c r="N65" s="282">
        <v>7.9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148.88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1.6</v>
      </c>
      <c r="M66" s="561">
        <v>7.9</v>
      </c>
      <c r="N66" s="282">
        <v>8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149.5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15.3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9.9</v>
      </c>
      <c r="M67" s="120">
        <f t="shared" si="19"/>
        <v>55.3</v>
      </c>
      <c r="N67" s="120">
        <f t="shared" si="19"/>
        <v>55.199999999999996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1038.1799999999998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155.78931572629048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9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7.9069999999999991</v>
      </c>
      <c r="C70" s="358">
        <f t="shared" ref="C70:V70" si="20">((((C68*7)*C69)/1000)-(C60+C61))/5</f>
        <v>7.7649999999999988</v>
      </c>
      <c r="D70" s="358">
        <f t="shared" si="20"/>
        <v>7.9383999999999997</v>
      </c>
      <c r="E70" s="358">
        <f t="shared" si="20"/>
        <v>2.1776</v>
      </c>
      <c r="F70" s="358">
        <f t="shared" si="20"/>
        <v>7.9426999999999994</v>
      </c>
      <c r="G70" s="358">
        <f t="shared" si="20"/>
        <v>7.6901999999999999</v>
      </c>
      <c r="H70" s="358">
        <f t="shared" si="20"/>
        <v>7.8501999999999992</v>
      </c>
      <c r="I70" s="358">
        <f t="shared" si="20"/>
        <v>8.2951999999999995</v>
      </c>
      <c r="J70" s="358">
        <f t="shared" si="20"/>
        <v>7.5504000000000007</v>
      </c>
      <c r="K70" s="358">
        <f t="shared" si="20"/>
        <v>8.2210000000000001</v>
      </c>
      <c r="L70" s="358">
        <f t="shared" si="20"/>
        <v>1.5319</v>
      </c>
      <c r="M70" s="358">
        <f t="shared" si="20"/>
        <v>7.8270000000000008</v>
      </c>
      <c r="N70" s="358">
        <f t="shared" si="20"/>
        <v>7.9112999999999998</v>
      </c>
      <c r="O70" s="358">
        <f t="shared" si="20"/>
        <v>8.0111999999999988</v>
      </c>
      <c r="P70" s="358">
        <f t="shared" si="20"/>
        <v>8.0811999999999991</v>
      </c>
      <c r="Q70" s="358">
        <f t="shared" si="20"/>
        <v>7.910000000000001</v>
      </c>
      <c r="R70" s="358">
        <f t="shared" si="20"/>
        <v>7.87</v>
      </c>
      <c r="S70" s="358">
        <f t="shared" si="20"/>
        <v>2.0356000000000001</v>
      </c>
      <c r="T70" s="358">
        <f t="shared" si="20"/>
        <v>8.0440000000000005</v>
      </c>
      <c r="U70" s="358">
        <f t="shared" si="20"/>
        <v>8.2210000000000001</v>
      </c>
      <c r="V70" s="358">
        <f t="shared" si="20"/>
        <v>7.8399000000000001</v>
      </c>
      <c r="W70" s="362">
        <f>((W67*1000)/7)/W69</f>
        <v>155.78931572629048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15.288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9.8595000000000006</v>
      </c>
      <c r="M71" s="282">
        <f t="shared" si="21"/>
        <v>55.335000000000001</v>
      </c>
      <c r="N71" s="282">
        <f t="shared" si="21"/>
        <v>55.156500000000001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 t="shared" si="22"/>
        <v>156.12244897959184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154.62184873949579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-1.2000000000000455E-2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-4.0499999999999758E-2</v>
      </c>
      <c r="M73" s="42">
        <f t="shared" si="23"/>
        <v>3.5000000000003695E-2</v>
      </c>
      <c r="N73" s="42">
        <f t="shared" si="23"/>
        <v>-4.3499999999994543E-2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0.12244897959183731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0.121848739495789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55"/>
  <dimension ref="A1:AE244"/>
  <sheetViews>
    <sheetView topLeftCell="A40" zoomScale="25" zoomScaleNormal="25" workbookViewId="0">
      <selection activeCell="P68" sqref="P68:V6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37</v>
      </c>
      <c r="Q11" s="1022"/>
      <c r="R11" s="6"/>
      <c r="S11" s="1" t="s">
        <v>6</v>
      </c>
      <c r="T11" s="95">
        <v>45648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91.5</v>
      </c>
      <c r="C18" s="282">
        <v>91.8</v>
      </c>
      <c r="D18" s="282">
        <v>90.8</v>
      </c>
      <c r="E18" s="282">
        <v>24.7</v>
      </c>
      <c r="F18" s="282">
        <v>93.1</v>
      </c>
      <c r="G18" s="282">
        <v>91.2</v>
      </c>
      <c r="H18" s="284">
        <v>93.1</v>
      </c>
      <c r="I18" s="285">
        <v>96.6</v>
      </c>
      <c r="J18" s="282">
        <v>95.7</v>
      </c>
      <c r="K18" s="282">
        <v>97.3</v>
      </c>
      <c r="L18" s="282">
        <v>27</v>
      </c>
      <c r="M18" s="282">
        <v>96.4</v>
      </c>
      <c r="N18" s="282">
        <v>98.1</v>
      </c>
      <c r="O18" s="282">
        <v>97.3</v>
      </c>
      <c r="P18" s="281">
        <v>98.1</v>
      </c>
      <c r="Q18" s="282">
        <v>98.9</v>
      </c>
      <c r="R18" s="282">
        <v>96.6</v>
      </c>
      <c r="S18" s="282">
        <v>27.4</v>
      </c>
      <c r="T18" s="282">
        <v>97.9</v>
      </c>
      <c r="U18" s="282">
        <v>97.1</v>
      </c>
      <c r="V18" s="284">
        <v>97.4</v>
      </c>
      <c r="W18" s="538">
        <f t="shared" ref="W18:W24" si="0">SUM(B18:V18)</f>
        <v>1798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91.5</v>
      </c>
      <c r="C19" s="282">
        <v>91.8</v>
      </c>
      <c r="D19" s="282">
        <v>90.8</v>
      </c>
      <c r="E19" s="282">
        <v>24.7</v>
      </c>
      <c r="F19" s="282">
        <v>93.1</v>
      </c>
      <c r="G19" s="282">
        <v>91.1</v>
      </c>
      <c r="H19" s="284">
        <v>93.1</v>
      </c>
      <c r="I19" s="285">
        <v>96.6</v>
      </c>
      <c r="J19" s="282">
        <v>95.6</v>
      </c>
      <c r="K19" s="282">
        <v>97.3</v>
      </c>
      <c r="L19" s="282">
        <v>27</v>
      </c>
      <c r="M19" s="282">
        <v>96.4</v>
      </c>
      <c r="N19" s="282">
        <v>98.1</v>
      </c>
      <c r="O19" s="282">
        <v>97.3</v>
      </c>
      <c r="P19" s="281">
        <v>97.7</v>
      </c>
      <c r="Q19" s="282">
        <v>98.7</v>
      </c>
      <c r="R19" s="282">
        <v>96.6</v>
      </c>
      <c r="S19" s="282">
        <v>27.2</v>
      </c>
      <c r="T19" s="282">
        <v>97.7</v>
      </c>
      <c r="U19" s="282">
        <v>97.1</v>
      </c>
      <c r="V19" s="284">
        <v>97.4</v>
      </c>
      <c r="W19" s="538">
        <f>SUM(B19:V19)</f>
        <v>1796.8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91.5</v>
      </c>
      <c r="C20" s="282">
        <v>91.8</v>
      </c>
      <c r="D20" s="282">
        <v>90.8</v>
      </c>
      <c r="E20" s="282">
        <v>24.7</v>
      </c>
      <c r="F20" s="282">
        <v>93.1</v>
      </c>
      <c r="G20" s="282">
        <v>91.1</v>
      </c>
      <c r="H20" s="284">
        <v>93.1</v>
      </c>
      <c r="I20" s="285">
        <v>96.6</v>
      </c>
      <c r="J20" s="282">
        <v>95.6</v>
      </c>
      <c r="K20" s="282">
        <v>97.2</v>
      </c>
      <c r="L20" s="282">
        <v>27</v>
      </c>
      <c r="M20" s="282">
        <v>96.4</v>
      </c>
      <c r="N20" s="282">
        <v>98</v>
      </c>
      <c r="O20" s="282">
        <v>97.2</v>
      </c>
      <c r="P20" s="281">
        <v>97.7</v>
      </c>
      <c r="Q20" s="282">
        <v>98.7</v>
      </c>
      <c r="R20" s="282">
        <v>96.6</v>
      </c>
      <c r="S20" s="282">
        <v>27.1</v>
      </c>
      <c r="T20" s="282">
        <v>97.7</v>
      </c>
      <c r="U20" s="282">
        <v>97.1</v>
      </c>
      <c r="V20" s="284">
        <v>97.4</v>
      </c>
      <c r="W20" s="538">
        <f t="shared" si="0"/>
        <v>1796.4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91.4</v>
      </c>
      <c r="C21" s="486">
        <v>91.8</v>
      </c>
      <c r="D21" s="486">
        <v>90.8</v>
      </c>
      <c r="E21" s="486">
        <v>24.7</v>
      </c>
      <c r="F21" s="486">
        <v>93</v>
      </c>
      <c r="G21" s="486">
        <v>90.6</v>
      </c>
      <c r="H21" s="499">
        <v>93</v>
      </c>
      <c r="I21" s="456">
        <v>96.6</v>
      </c>
      <c r="J21" s="486">
        <v>95.6</v>
      </c>
      <c r="K21" s="486">
        <v>97.2</v>
      </c>
      <c r="L21" s="486">
        <v>27</v>
      </c>
      <c r="M21" s="486">
        <v>96.2</v>
      </c>
      <c r="N21" s="486">
        <v>97.8</v>
      </c>
      <c r="O21" s="486">
        <v>97.2</v>
      </c>
      <c r="P21" s="485">
        <v>97.4</v>
      </c>
      <c r="Q21" s="486">
        <v>98.6</v>
      </c>
      <c r="R21" s="486">
        <v>96.6</v>
      </c>
      <c r="S21" s="486">
        <v>27.1</v>
      </c>
      <c r="T21" s="486">
        <v>97.7</v>
      </c>
      <c r="U21" s="486">
        <v>96.8</v>
      </c>
      <c r="V21" s="499">
        <v>97.4</v>
      </c>
      <c r="W21" s="538">
        <f t="shared" si="0"/>
        <v>1794.5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91.4</v>
      </c>
      <c r="C22" s="282">
        <v>91.7</v>
      </c>
      <c r="D22" s="282">
        <v>90.8</v>
      </c>
      <c r="E22" s="282">
        <v>24.8</v>
      </c>
      <c r="F22" s="282">
        <v>92.7</v>
      </c>
      <c r="G22" s="282">
        <v>90.6</v>
      </c>
      <c r="H22" s="284">
        <v>92.7</v>
      </c>
      <c r="I22" s="285">
        <v>96.6</v>
      </c>
      <c r="J22" s="282">
        <v>95.6</v>
      </c>
      <c r="K22" s="282">
        <v>97.2</v>
      </c>
      <c r="L22" s="282">
        <v>27</v>
      </c>
      <c r="M22" s="282">
        <v>96.2</v>
      </c>
      <c r="N22" s="282">
        <v>97.7</v>
      </c>
      <c r="O22" s="282">
        <v>97.2</v>
      </c>
      <c r="P22" s="281">
        <v>97.3</v>
      </c>
      <c r="Q22" s="282">
        <v>98.6</v>
      </c>
      <c r="R22" s="282">
        <v>96.6</v>
      </c>
      <c r="S22" s="282">
        <v>27.1</v>
      </c>
      <c r="T22" s="282">
        <v>97.7</v>
      </c>
      <c r="U22" s="282">
        <v>96.8</v>
      </c>
      <c r="V22" s="284">
        <v>97.4</v>
      </c>
      <c r="W22" s="538">
        <f t="shared" si="0"/>
        <v>1793.7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91.4</v>
      </c>
      <c r="C23" s="282">
        <v>91.7</v>
      </c>
      <c r="D23" s="282">
        <v>90.8</v>
      </c>
      <c r="E23" s="282">
        <v>24.8</v>
      </c>
      <c r="F23" s="282">
        <v>92.6</v>
      </c>
      <c r="G23" s="282">
        <v>89.9</v>
      </c>
      <c r="H23" s="284">
        <v>92.6</v>
      </c>
      <c r="I23" s="285">
        <v>96.6</v>
      </c>
      <c r="J23" s="282">
        <v>95.6</v>
      </c>
      <c r="K23" s="282">
        <v>97.2</v>
      </c>
      <c r="L23" s="282">
        <v>26.5</v>
      </c>
      <c r="M23" s="282">
        <v>96.1</v>
      </c>
      <c r="N23" s="282">
        <v>97.7</v>
      </c>
      <c r="O23" s="282">
        <v>97.2</v>
      </c>
      <c r="P23" s="281">
        <v>96.8</v>
      </c>
      <c r="Q23" s="282">
        <v>98.6</v>
      </c>
      <c r="R23" s="282">
        <v>96.6</v>
      </c>
      <c r="S23" s="282">
        <v>27.1</v>
      </c>
      <c r="T23" s="282">
        <v>97.6</v>
      </c>
      <c r="U23" s="282">
        <v>96.7</v>
      </c>
      <c r="V23" s="284">
        <v>97.4</v>
      </c>
      <c r="W23" s="538">
        <f t="shared" si="0"/>
        <v>1791.5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91.4</v>
      </c>
      <c r="C24" s="282">
        <v>91.7</v>
      </c>
      <c r="D24" s="282">
        <v>90.8</v>
      </c>
      <c r="E24" s="282">
        <v>24.8</v>
      </c>
      <c r="F24" s="282">
        <v>92.6</v>
      </c>
      <c r="G24" s="282">
        <v>89.9</v>
      </c>
      <c r="H24" s="284">
        <v>92.6</v>
      </c>
      <c r="I24" s="285">
        <v>96.5</v>
      </c>
      <c r="J24" s="282">
        <v>95.6</v>
      </c>
      <c r="K24" s="282">
        <v>97.2</v>
      </c>
      <c r="L24" s="282">
        <v>26.4</v>
      </c>
      <c r="M24" s="282">
        <v>96.1</v>
      </c>
      <c r="N24" s="282">
        <v>97.7</v>
      </c>
      <c r="O24" s="282">
        <v>97.2</v>
      </c>
      <c r="P24" s="281">
        <v>96.7</v>
      </c>
      <c r="Q24" s="282">
        <v>98.6</v>
      </c>
      <c r="R24" s="282">
        <v>96.5</v>
      </c>
      <c r="S24" s="282">
        <v>27.1</v>
      </c>
      <c r="T24" s="282">
        <v>97.6</v>
      </c>
      <c r="U24" s="282">
        <v>96.7</v>
      </c>
      <c r="V24" s="284">
        <v>97.3</v>
      </c>
      <c r="W24" s="98">
        <f t="shared" si="0"/>
        <v>1791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640.09999999999991</v>
      </c>
      <c r="C25" s="120">
        <f>SUM(C18:C24)</f>
        <v>642.30000000000007</v>
      </c>
      <c r="D25" s="120">
        <f t="shared" ref="D25:V25" si="1">SUM(D18:D24)</f>
        <v>635.59999999999991</v>
      </c>
      <c r="E25" s="120">
        <f>SUM(E18:E24)</f>
        <v>173.20000000000002</v>
      </c>
      <c r="F25" s="120">
        <f t="shared" si="1"/>
        <v>650.19999999999993</v>
      </c>
      <c r="G25" s="120">
        <f t="shared" si="1"/>
        <v>634.4</v>
      </c>
      <c r="H25" s="121">
        <f t="shared" si="1"/>
        <v>650.19999999999993</v>
      </c>
      <c r="I25" s="122">
        <f t="shared" si="1"/>
        <v>676.1</v>
      </c>
      <c r="J25" s="120">
        <f t="shared" si="1"/>
        <v>669.30000000000007</v>
      </c>
      <c r="K25" s="120">
        <f t="shared" si="1"/>
        <v>680.6</v>
      </c>
      <c r="L25" s="120">
        <f t="shared" si="1"/>
        <v>187.9</v>
      </c>
      <c r="M25" s="120">
        <f t="shared" si="1"/>
        <v>673.80000000000007</v>
      </c>
      <c r="N25" s="120">
        <f t="shared" si="1"/>
        <v>685.1</v>
      </c>
      <c r="O25" s="121">
        <f t="shared" si="1"/>
        <v>680.6</v>
      </c>
      <c r="P25" s="122">
        <f t="shared" si="1"/>
        <v>681.7</v>
      </c>
      <c r="Q25" s="120">
        <f t="shared" si="1"/>
        <v>690.7</v>
      </c>
      <c r="R25" s="120">
        <f t="shared" si="1"/>
        <v>676.1</v>
      </c>
      <c r="S25" s="120">
        <f>SUM(S18:S24)</f>
        <v>190.09999999999997</v>
      </c>
      <c r="T25" s="120">
        <f t="shared" si="1"/>
        <v>683.9</v>
      </c>
      <c r="U25" s="120">
        <f t="shared" si="1"/>
        <v>678.30000000000007</v>
      </c>
      <c r="V25" s="121">
        <f t="shared" si="1"/>
        <v>681.69999999999993</v>
      </c>
      <c r="W25" s="361">
        <f>SUM(W18:W24)</f>
        <v>12561.900000000001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160.69999999999993</v>
      </c>
      <c r="C26" s="487">
        <v>160.69999999999993</v>
      </c>
      <c r="D26" s="487">
        <v>160.69999999999993</v>
      </c>
      <c r="E26" s="487">
        <v>160.69999999999993</v>
      </c>
      <c r="F26" s="487">
        <v>160.69999999999993</v>
      </c>
      <c r="G26" s="487">
        <v>160.69999999999993</v>
      </c>
      <c r="H26" s="487">
        <v>160.69999999999993</v>
      </c>
      <c r="I26" s="487">
        <v>160.69999999999993</v>
      </c>
      <c r="J26" s="487">
        <v>160.69999999999993</v>
      </c>
      <c r="K26" s="487">
        <v>160.69999999999993</v>
      </c>
      <c r="L26" s="487">
        <v>160.69999999999993</v>
      </c>
      <c r="M26" s="487">
        <v>160.69999999999993</v>
      </c>
      <c r="N26" s="487">
        <v>160.69999999999993</v>
      </c>
      <c r="O26" s="487">
        <v>160.69999999999993</v>
      </c>
      <c r="P26" s="487">
        <v>160.69999999999993</v>
      </c>
      <c r="Q26" s="487">
        <v>160.69999999999993</v>
      </c>
      <c r="R26" s="487">
        <v>160.69999999999993</v>
      </c>
      <c r="S26" s="487">
        <v>160.69999999999993</v>
      </c>
      <c r="T26" s="487">
        <v>160.69999999999993</v>
      </c>
      <c r="U26" s="487">
        <v>160.69999999999993</v>
      </c>
      <c r="V26" s="487">
        <v>160.69999999999993</v>
      </c>
      <c r="W26" s="99">
        <f>((W25/W27)/7)*1000</f>
        <v>160.84584949871319</v>
      </c>
    </row>
    <row r="27" spans="1:31" s="2" customFormat="1" ht="33" customHeight="1" x14ac:dyDescent="0.25">
      <c r="A27" s="149" t="s">
        <v>12</v>
      </c>
      <c r="B27" s="26">
        <v>569</v>
      </c>
      <c r="C27" s="27">
        <v>571</v>
      </c>
      <c r="D27" s="27">
        <v>565</v>
      </c>
      <c r="E27" s="27">
        <v>154</v>
      </c>
      <c r="F27" s="27">
        <v>578</v>
      </c>
      <c r="G27" s="27">
        <v>564</v>
      </c>
      <c r="H27" s="28">
        <v>578</v>
      </c>
      <c r="I27" s="26">
        <v>601</v>
      </c>
      <c r="J27" s="27">
        <v>594</v>
      </c>
      <c r="K27" s="27">
        <v>605</v>
      </c>
      <c r="L27" s="27">
        <v>167</v>
      </c>
      <c r="M27" s="27">
        <v>599</v>
      </c>
      <c r="N27" s="27">
        <v>608</v>
      </c>
      <c r="O27" s="28">
        <v>605</v>
      </c>
      <c r="P27" s="26">
        <v>606</v>
      </c>
      <c r="Q27" s="27">
        <v>612</v>
      </c>
      <c r="R27" s="27">
        <v>601</v>
      </c>
      <c r="S27" s="27">
        <v>166</v>
      </c>
      <c r="T27" s="27">
        <v>607</v>
      </c>
      <c r="U27" s="27">
        <v>602</v>
      </c>
      <c r="V27" s="28">
        <v>605</v>
      </c>
      <c r="W27" s="29">
        <f>SUM(B27:V27)</f>
        <v>11157</v>
      </c>
    </row>
    <row r="28" spans="1:31" s="2" customFormat="1" ht="33" customHeight="1" x14ac:dyDescent="0.25">
      <c r="A28" s="150" t="s">
        <v>13</v>
      </c>
      <c r="B28" s="30">
        <f>(((((B26*7)*B27)/1000))/7)</f>
        <v>91.438299999999956</v>
      </c>
      <c r="C28" s="30">
        <f t="shared" ref="C28:V28" si="2">(((((C26*7)*C27)/1000))/7)</f>
        <v>91.759699999999967</v>
      </c>
      <c r="D28" s="30">
        <f t="shared" si="2"/>
        <v>90.795499999999961</v>
      </c>
      <c r="E28" s="30">
        <f t="shared" si="2"/>
        <v>24.747799999999991</v>
      </c>
      <c r="F28" s="30">
        <f t="shared" si="2"/>
        <v>92.884599999999978</v>
      </c>
      <c r="G28" s="30">
        <f t="shared" si="2"/>
        <v>90.634799999999956</v>
      </c>
      <c r="H28" s="30">
        <f t="shared" si="2"/>
        <v>92.884599999999978</v>
      </c>
      <c r="I28" s="30">
        <f t="shared" si="2"/>
        <v>96.580699999999965</v>
      </c>
      <c r="J28" s="30">
        <f t="shared" si="2"/>
        <v>95.455799999999968</v>
      </c>
      <c r="K28" s="30">
        <f t="shared" si="2"/>
        <v>97.223499999999959</v>
      </c>
      <c r="L28" s="30">
        <f t="shared" si="2"/>
        <v>26.836899999999989</v>
      </c>
      <c r="M28" s="30">
        <f t="shared" si="2"/>
        <v>96.259299999999953</v>
      </c>
      <c r="N28" s="30">
        <f t="shared" si="2"/>
        <v>97.705599999999961</v>
      </c>
      <c r="O28" s="30">
        <f t="shared" si="2"/>
        <v>97.223499999999959</v>
      </c>
      <c r="P28" s="30">
        <f t="shared" si="2"/>
        <v>97.384199999999964</v>
      </c>
      <c r="Q28" s="30">
        <f t="shared" si="2"/>
        <v>98.34839999999997</v>
      </c>
      <c r="R28" s="30">
        <f t="shared" si="2"/>
        <v>96.580699999999965</v>
      </c>
      <c r="S28" s="30">
        <f t="shared" si="2"/>
        <v>26.676199999999991</v>
      </c>
      <c r="T28" s="30">
        <f t="shared" si="2"/>
        <v>97.54489999999997</v>
      </c>
      <c r="U28" s="30">
        <f t="shared" si="2"/>
        <v>96.74139999999997</v>
      </c>
      <c r="V28" s="30">
        <f t="shared" si="2"/>
        <v>97.223499999999959</v>
      </c>
      <c r="W28" s="362">
        <f>((W25*1000)/7)/W27</f>
        <v>160.84584949871319</v>
      </c>
      <c r="X28" s="594"/>
    </row>
    <row r="29" spans="1:31" ht="33.75" customHeight="1" x14ac:dyDescent="0.25">
      <c r="A29" s="151" t="s">
        <v>14</v>
      </c>
      <c r="B29" s="281">
        <f>((B27*B26)*7)/1000</f>
        <v>640.06809999999973</v>
      </c>
      <c r="C29" s="282">
        <f>((C27*C26)*7)/1000</f>
        <v>642.31789999999978</v>
      </c>
      <c r="D29" s="282">
        <f t="shared" ref="D29:V29" si="3">((D27*D26)*7)/1000</f>
        <v>635.56849999999963</v>
      </c>
      <c r="E29" s="282">
        <f t="shared" si="3"/>
        <v>173.23459999999992</v>
      </c>
      <c r="F29" s="282">
        <f t="shared" si="3"/>
        <v>650.19219999999973</v>
      </c>
      <c r="G29" s="282">
        <f t="shared" si="3"/>
        <v>634.44359999999972</v>
      </c>
      <c r="H29" s="284">
        <f t="shared" si="3"/>
        <v>650.19219999999973</v>
      </c>
      <c r="I29" s="281">
        <f t="shared" si="3"/>
        <v>676.06489999999962</v>
      </c>
      <c r="J29" s="282">
        <f t="shared" si="3"/>
        <v>668.19059999999979</v>
      </c>
      <c r="K29" s="282">
        <f t="shared" si="3"/>
        <v>680.56449999999961</v>
      </c>
      <c r="L29" s="282">
        <f t="shared" si="3"/>
        <v>187.8582999999999</v>
      </c>
      <c r="M29" s="282">
        <f t="shared" si="3"/>
        <v>673.81509999999969</v>
      </c>
      <c r="N29" s="282">
        <f t="shared" si="3"/>
        <v>683.93919999999969</v>
      </c>
      <c r="O29" s="284">
        <f t="shared" si="3"/>
        <v>680.56449999999961</v>
      </c>
      <c r="P29" s="281">
        <f t="shared" si="3"/>
        <v>681.68939999999964</v>
      </c>
      <c r="Q29" s="282">
        <f t="shared" si="3"/>
        <v>688.43879999999979</v>
      </c>
      <c r="R29" s="282">
        <f t="shared" si="3"/>
        <v>676.06489999999962</v>
      </c>
      <c r="S29" s="282">
        <f t="shared" si="3"/>
        <v>186.73339999999993</v>
      </c>
      <c r="T29" s="282">
        <f t="shared" si="3"/>
        <v>682.81429999999978</v>
      </c>
      <c r="U29" s="282">
        <f t="shared" si="3"/>
        <v>677.18979999999976</v>
      </c>
      <c r="V29" s="284">
        <f t="shared" si="3"/>
        <v>680.56449999999961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160.70800903841322</v>
      </c>
      <c r="C30" s="38">
        <f t="shared" ref="C30:V30" si="4">+(C25/C27)/7*1000</f>
        <v>160.69552164123093</v>
      </c>
      <c r="D30" s="38">
        <f t="shared" si="4"/>
        <v>160.7079646017699</v>
      </c>
      <c r="E30" s="38">
        <f t="shared" si="4"/>
        <v>160.6679035250464</v>
      </c>
      <c r="F30" s="38">
        <f t="shared" si="4"/>
        <v>160.70192782995548</v>
      </c>
      <c r="G30" s="38">
        <f t="shared" si="4"/>
        <v>160.68895643363729</v>
      </c>
      <c r="H30" s="39">
        <f t="shared" si="4"/>
        <v>160.70192782995548</v>
      </c>
      <c r="I30" s="37">
        <f t="shared" si="4"/>
        <v>160.70834323746138</v>
      </c>
      <c r="J30" s="38">
        <f t="shared" si="4"/>
        <v>160.96681096681098</v>
      </c>
      <c r="K30" s="38">
        <f t="shared" si="4"/>
        <v>160.70838252656432</v>
      </c>
      <c r="L30" s="38">
        <f t="shared" si="4"/>
        <v>160.73567151411464</v>
      </c>
      <c r="M30" s="38">
        <f t="shared" si="4"/>
        <v>160.69639875983782</v>
      </c>
      <c r="N30" s="38">
        <f t="shared" si="4"/>
        <v>160.97274436090228</v>
      </c>
      <c r="O30" s="39">
        <f t="shared" si="4"/>
        <v>160.70838252656432</v>
      </c>
      <c r="P30" s="37">
        <f t="shared" si="4"/>
        <v>160.70249882131074</v>
      </c>
      <c r="Q30" s="38">
        <f t="shared" si="4"/>
        <v>161.22782446311859</v>
      </c>
      <c r="R30" s="38">
        <f t="shared" si="4"/>
        <v>160.70834323746138</v>
      </c>
      <c r="S30" s="38">
        <f t="shared" si="4"/>
        <v>163.59724612736656</v>
      </c>
      <c r="T30" s="38">
        <f t="shared" si="4"/>
        <v>160.95551894563425</v>
      </c>
      <c r="U30" s="38">
        <f t="shared" si="4"/>
        <v>160.96345514950167</v>
      </c>
      <c r="V30" s="39">
        <f t="shared" si="4"/>
        <v>160.9681227863046</v>
      </c>
      <c r="W30" s="40"/>
    </row>
    <row r="31" spans="1:31" ht="33.75" customHeight="1" x14ac:dyDescent="0.25">
      <c r="A31" s="41"/>
      <c r="B31" s="42">
        <f>B29-B25</f>
        <v>-3.1900000000177897E-2</v>
      </c>
      <c r="C31" s="42">
        <f t="shared" ref="C31:V32" si="5">C29-C25</f>
        <v>1.7899999999713145E-2</v>
      </c>
      <c r="D31" s="42">
        <f t="shared" si="5"/>
        <v>-3.1500000000278305E-2</v>
      </c>
      <c r="E31" s="42">
        <f t="shared" si="5"/>
        <v>3.4599999999898046E-2</v>
      </c>
      <c r="F31" s="42">
        <f t="shared" si="5"/>
        <v>-7.8000000002020897E-3</v>
      </c>
      <c r="G31" s="42">
        <f t="shared" si="5"/>
        <v>4.3599999999742067E-2</v>
      </c>
      <c r="H31" s="42">
        <f t="shared" si="5"/>
        <v>-7.8000000002020897E-3</v>
      </c>
      <c r="I31" s="42">
        <f t="shared" si="5"/>
        <v>-3.5100000000397813E-2</v>
      </c>
      <c r="J31" s="42">
        <f t="shared" si="5"/>
        <v>-1.1094000000002779</v>
      </c>
      <c r="K31" s="42">
        <f t="shared" si="5"/>
        <v>-3.5500000000411092E-2</v>
      </c>
      <c r="L31" s="42">
        <f t="shared" si="5"/>
        <v>-4.1700000000105319E-2</v>
      </c>
      <c r="M31" s="42">
        <f t="shared" si="5"/>
        <v>1.5099999999620195E-2</v>
      </c>
      <c r="N31" s="42">
        <f t="shared" si="5"/>
        <v>-1.1608000000003358</v>
      </c>
      <c r="O31" s="42">
        <f t="shared" si="5"/>
        <v>-3.5500000000411092E-2</v>
      </c>
      <c r="P31" s="42">
        <f t="shared" si="5"/>
        <v>-1.0600000000408727E-2</v>
      </c>
      <c r="Q31" s="42">
        <f t="shared" si="5"/>
        <v>-2.2612000000002581</v>
      </c>
      <c r="R31" s="42">
        <f t="shared" si="5"/>
        <v>-3.5100000000397813E-2</v>
      </c>
      <c r="S31" s="42">
        <f t="shared" si="5"/>
        <v>-3.3666000000000338</v>
      </c>
      <c r="T31" s="42">
        <f t="shared" si="5"/>
        <v>-1.0857000000002017</v>
      </c>
      <c r="U31" s="42">
        <f t="shared" si="5"/>
        <v>-1.1102000000003045</v>
      </c>
      <c r="V31" s="42">
        <f t="shared" si="5"/>
        <v>-1.1355000000003201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8.0090384132915915E-3</v>
      </c>
      <c r="C32" s="42">
        <f t="shared" si="5"/>
        <v>-4.4783587690062632E-3</v>
      </c>
      <c r="D32" s="42">
        <f t="shared" si="5"/>
        <v>7.9646017699701588E-3</v>
      </c>
      <c r="E32" s="42">
        <f t="shared" si="5"/>
        <v>-3.2096474953533516E-2</v>
      </c>
      <c r="F32" s="42">
        <f t="shared" si="5"/>
        <v>1.9278299555480771E-3</v>
      </c>
      <c r="G32" s="42">
        <f t="shared" si="5"/>
        <v>-1.1043566362644697E-2</v>
      </c>
      <c r="H32" s="42">
        <f t="shared" si="5"/>
        <v>1.9278299555480771E-3</v>
      </c>
      <c r="I32" s="42">
        <f t="shared" si="5"/>
        <v>8.3432374614460514E-3</v>
      </c>
      <c r="J32" s="42">
        <f t="shared" si="5"/>
        <v>0.26681096681105032</v>
      </c>
      <c r="K32" s="42">
        <f t="shared" si="5"/>
        <v>8.3825265643895364E-3</v>
      </c>
      <c r="L32" s="42">
        <f t="shared" si="5"/>
        <v>3.567151411471059E-2</v>
      </c>
      <c r="M32" s="42">
        <f t="shared" si="5"/>
        <v>-3.6012401621121626E-3</v>
      </c>
      <c r="N32" s="42">
        <f t="shared" si="5"/>
        <v>0.27274436090235099</v>
      </c>
      <c r="O32" s="42">
        <f t="shared" si="5"/>
        <v>8.3825265643895364E-3</v>
      </c>
      <c r="P32" s="42">
        <f t="shared" si="5"/>
        <v>2.4988213108088075E-3</v>
      </c>
      <c r="Q32" s="42">
        <f>Q30-Q26</f>
        <v>0.52782446311866238</v>
      </c>
      <c r="R32" s="42">
        <f t="shared" si="5"/>
        <v>8.3432374614460514E-3</v>
      </c>
      <c r="S32" s="42">
        <f t="shared" si="5"/>
        <v>2.8972461273666283</v>
      </c>
      <c r="T32" s="42">
        <f t="shared" si="5"/>
        <v>0.25551894563432143</v>
      </c>
      <c r="U32" s="42">
        <f t="shared" si="5"/>
        <v>0.26345514950173765</v>
      </c>
      <c r="V32" s="42">
        <f t="shared" si="5"/>
        <v>0.2681227863046729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</v>
      </c>
      <c r="C39" s="282">
        <v>88.8</v>
      </c>
      <c r="D39" s="282">
        <v>19.600000000000001</v>
      </c>
      <c r="E39" s="282">
        <v>91.2</v>
      </c>
      <c r="F39" s="282">
        <v>90.2</v>
      </c>
      <c r="G39" s="284">
        <v>91.5</v>
      </c>
      <c r="H39" s="540">
        <f t="shared" ref="H39:H46" si="6">SUM(B39:G39)</f>
        <v>469.3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</v>
      </c>
      <c r="C40" s="282">
        <v>88.8</v>
      </c>
      <c r="D40" s="282">
        <v>19.600000000000001</v>
      </c>
      <c r="E40" s="282">
        <v>91.2</v>
      </c>
      <c r="F40" s="282">
        <v>90.2</v>
      </c>
      <c r="G40" s="284">
        <v>91.3</v>
      </c>
      <c r="H40" s="539">
        <f t="shared" si="6"/>
        <v>469.1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</v>
      </c>
      <c r="C41" s="282">
        <v>88.8</v>
      </c>
      <c r="D41" s="282">
        <v>19.600000000000001</v>
      </c>
      <c r="E41" s="282">
        <v>90.7</v>
      </c>
      <c r="F41" s="282">
        <v>90.2</v>
      </c>
      <c r="G41" s="284">
        <v>91.3</v>
      </c>
      <c r="H41" s="539">
        <f t="shared" si="6"/>
        <v>468.6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</v>
      </c>
      <c r="C42" s="486">
        <v>88.8</v>
      </c>
      <c r="D42" s="486">
        <v>19.600000000000001</v>
      </c>
      <c r="E42" s="486">
        <v>90.7</v>
      </c>
      <c r="F42" s="486">
        <v>90.2</v>
      </c>
      <c r="G42" s="499">
        <v>91.3</v>
      </c>
      <c r="H42" s="539">
        <f t="shared" si="6"/>
        <v>468.6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</v>
      </c>
      <c r="C43" s="282">
        <v>88.4</v>
      </c>
      <c r="D43" s="282">
        <v>19.5</v>
      </c>
      <c r="E43" s="282">
        <v>90.7</v>
      </c>
      <c r="F43" s="282">
        <v>90.2</v>
      </c>
      <c r="G43" s="284">
        <v>91.3</v>
      </c>
      <c r="H43" s="539">
        <f t="shared" si="6"/>
        <v>468.1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</v>
      </c>
      <c r="C44" s="282">
        <v>87.8</v>
      </c>
      <c r="D44" s="282">
        <v>19</v>
      </c>
      <c r="E44" s="282">
        <v>90.7</v>
      </c>
      <c r="F44" s="282">
        <v>89.6</v>
      </c>
      <c r="G44" s="284">
        <v>90.7</v>
      </c>
      <c r="H44" s="539">
        <f t="shared" si="6"/>
        <v>465.8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539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87.8</v>
      </c>
      <c r="D45" s="282">
        <v>18.899999999999999</v>
      </c>
      <c r="E45" s="282">
        <v>90.6</v>
      </c>
      <c r="F45" s="282">
        <v>89.6</v>
      </c>
      <c r="G45" s="284">
        <v>90.6</v>
      </c>
      <c r="H45" s="265">
        <f t="shared" si="6"/>
        <v>465.4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615.9</v>
      </c>
      <c r="C46" s="120">
        <f t="shared" si="8"/>
        <v>619.19999999999993</v>
      </c>
      <c r="D46" s="120">
        <f t="shared" si="8"/>
        <v>135.80000000000001</v>
      </c>
      <c r="E46" s="120">
        <f t="shared" si="8"/>
        <v>635.80000000000007</v>
      </c>
      <c r="F46" s="120">
        <f t="shared" si="8"/>
        <v>630.20000000000005</v>
      </c>
      <c r="G46" s="121">
        <f t="shared" si="8"/>
        <v>638.00000000000011</v>
      </c>
      <c r="H46" s="560">
        <f t="shared" si="6"/>
        <v>3274.8999999999996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157.67999999999998</v>
      </c>
      <c r="C47" s="555">
        <v>157.67999999999998</v>
      </c>
      <c r="D47" s="555">
        <v>157.67999999999998</v>
      </c>
      <c r="E47" s="555">
        <v>157.67999999999998</v>
      </c>
      <c r="F47" s="555">
        <v>157.67999999999998</v>
      </c>
      <c r="G47" s="555">
        <v>157.67999999999998</v>
      </c>
      <c r="H47" s="234">
        <f>+((H46/H48)/7)*1000</f>
        <v>157.84171968382492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559</v>
      </c>
      <c r="D48" s="27">
        <v>123</v>
      </c>
      <c r="E48" s="27">
        <v>575</v>
      </c>
      <c r="F48" s="27">
        <v>571</v>
      </c>
      <c r="G48" s="28">
        <v>578</v>
      </c>
      <c r="H48" s="256">
        <f>SUM(B48:G48)</f>
        <v>2964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87.985439999999969</v>
      </c>
      <c r="C49" s="30">
        <f t="shared" ref="C49:G49" si="10">(((((C47*7)*C48)/1000)/7))</f>
        <v>88.143119999999982</v>
      </c>
      <c r="D49" s="30">
        <f t="shared" si="10"/>
        <v>19.394639999999999</v>
      </c>
      <c r="E49" s="30">
        <f t="shared" si="10"/>
        <v>90.665999999999983</v>
      </c>
      <c r="F49" s="30">
        <f t="shared" si="10"/>
        <v>90.035279999999972</v>
      </c>
      <c r="G49" s="30">
        <f t="shared" si="10"/>
        <v>91.139039999999994</v>
      </c>
      <c r="H49" s="257">
        <f>((H46*1000)/H48)/7</f>
        <v>157.84171968382492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615.89807999999994</v>
      </c>
      <c r="C50" s="282">
        <f t="shared" ref="C50:G50" si="12">((C48*C47)*7)/1000</f>
        <v>617.0018399999999</v>
      </c>
      <c r="D50" s="282">
        <f t="shared" si="12"/>
        <v>135.76247999999998</v>
      </c>
      <c r="E50" s="282">
        <f t="shared" si="12"/>
        <v>634.66199999999992</v>
      </c>
      <c r="F50" s="282">
        <f t="shared" si="12"/>
        <v>630.24695999999983</v>
      </c>
      <c r="G50" s="284">
        <f t="shared" si="12"/>
        <v>637.97327999999993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157.68049155145931</v>
      </c>
      <c r="C51" s="38">
        <f t="shared" si="14"/>
        <v>158.24175824175822</v>
      </c>
      <c r="D51" s="38">
        <f t="shared" si="14"/>
        <v>157.72357723577238</v>
      </c>
      <c r="E51" s="38">
        <f t="shared" si="14"/>
        <v>157.96273291925471</v>
      </c>
      <c r="F51" s="38">
        <f t="shared" si="14"/>
        <v>157.66825118839131</v>
      </c>
      <c r="G51" s="39">
        <f t="shared" si="14"/>
        <v>157.68660405338611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-1.920000000041E-3</v>
      </c>
      <c r="C52" s="42">
        <f t="shared" ref="C52:G53" si="16">C50-C46</f>
        <v>-2.1981600000000299</v>
      </c>
      <c r="D52" s="42">
        <f t="shared" si="16"/>
        <v>-3.7520000000029086E-2</v>
      </c>
      <c r="E52" s="42">
        <f t="shared" si="16"/>
        <v>-1.1380000000001473</v>
      </c>
      <c r="F52" s="42">
        <f t="shared" si="16"/>
        <v>4.6959999999785396E-2</v>
      </c>
      <c r="G52" s="42">
        <f t="shared" si="16"/>
        <v>-2.6720000000182154E-2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4.9155145933355016E-4</v>
      </c>
      <c r="C53" s="42">
        <f t="shared" si="16"/>
        <v>0.56175824175824118</v>
      </c>
      <c r="D53" s="42">
        <f t="shared" si="16"/>
        <v>4.3577235772403355E-2</v>
      </c>
      <c r="E53" s="42">
        <f t="shared" si="16"/>
        <v>0.28273291925472677</v>
      </c>
      <c r="F53" s="42">
        <f t="shared" si="16"/>
        <v>-1.174881160866903E-2</v>
      </c>
      <c r="G53" s="42">
        <f t="shared" si="16"/>
        <v>6.6040533861269068E-3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61"/>
      <c r="C54" s="1061"/>
      <c r="D54" s="106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1.2</v>
      </c>
      <c r="M65" s="561">
        <v>7.8</v>
      </c>
      <c r="N65" s="282">
        <v>7.4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539">
        <f t="shared" si="18"/>
        <v>147.88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1.2</v>
      </c>
      <c r="M66" s="561">
        <v>7.9</v>
      </c>
      <c r="N66" s="282">
        <v>7.4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148.30000000000001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14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55.3</v>
      </c>
      <c r="N67" s="120">
        <f t="shared" si="19"/>
        <v>54.099999999999994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1034.68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155.75493000150533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949</v>
      </c>
      <c r="X69" s="244"/>
    </row>
    <row r="70" spans="1:26" ht="33.75" customHeight="1" x14ac:dyDescent="0.25">
      <c r="A70" s="150" t="s">
        <v>13</v>
      </c>
      <c r="B70" s="358">
        <f>((((B68*7)*B69)/1000)/7)</f>
        <v>7.9050000000000002</v>
      </c>
      <c r="C70" s="358">
        <f t="shared" ref="C70:V70" si="20">((((C68*7)*C69)/1000)/7)</f>
        <v>7.7749999999999995</v>
      </c>
      <c r="D70" s="358">
        <f t="shared" si="20"/>
        <v>7.9560000000000004</v>
      </c>
      <c r="E70" s="358">
        <f t="shared" si="20"/>
        <v>2.028</v>
      </c>
      <c r="F70" s="358">
        <f t="shared" si="20"/>
        <v>7.9305000000000003</v>
      </c>
      <c r="G70" s="358">
        <f t="shared" si="20"/>
        <v>7.6929999999999996</v>
      </c>
      <c r="H70" s="358">
        <f t="shared" si="20"/>
        <v>7.6929999999999996</v>
      </c>
      <c r="I70" s="358">
        <f t="shared" si="20"/>
        <v>8.2679999999999989</v>
      </c>
      <c r="J70" s="358">
        <f t="shared" si="20"/>
        <v>7.5360000000000005</v>
      </c>
      <c r="K70" s="358">
        <f t="shared" si="20"/>
        <v>8.2149999999999999</v>
      </c>
      <c r="L70" s="358">
        <f t="shared" si="20"/>
        <v>1.252</v>
      </c>
      <c r="M70" s="358">
        <f t="shared" si="20"/>
        <v>7.9050000000000002</v>
      </c>
      <c r="N70" s="358">
        <f t="shared" si="20"/>
        <v>7.7250000000000005</v>
      </c>
      <c r="O70" s="358">
        <f t="shared" si="20"/>
        <v>8.0079999999999991</v>
      </c>
      <c r="P70" s="358">
        <f t="shared" si="20"/>
        <v>8.0579999999999998</v>
      </c>
      <c r="Q70" s="358">
        <f t="shared" si="20"/>
        <v>7.8500000000000005</v>
      </c>
      <c r="R70" s="358">
        <f t="shared" si="20"/>
        <v>7.8500000000000005</v>
      </c>
      <c r="S70" s="358">
        <f t="shared" si="20"/>
        <v>2.0539999999999998</v>
      </c>
      <c r="T70" s="358">
        <f t="shared" si="20"/>
        <v>8.06</v>
      </c>
      <c r="U70" s="358">
        <f t="shared" si="20"/>
        <v>8.2149999999999999</v>
      </c>
      <c r="V70" s="358">
        <f t="shared" si="20"/>
        <v>7.8285</v>
      </c>
      <c r="W70" s="362">
        <f>((W67*1000)/7)/W69</f>
        <v>155.75493000150536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8.7639999999999993</v>
      </c>
      <c r="M71" s="282">
        <f t="shared" si="21"/>
        <v>55.335000000000001</v>
      </c>
      <c r="N71" s="282">
        <f t="shared" si="21"/>
        <v>54.075000000000003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>+(E67/E69)/7*1000</f>
        <v>153.84615384615384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154.57142857142856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0.19599999999999973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-3.6000000000001364E-2</v>
      </c>
      <c r="M73" s="42">
        <f t="shared" si="23"/>
        <v>3.5000000000003695E-2</v>
      </c>
      <c r="N73" s="42">
        <f t="shared" si="23"/>
        <v>-2.4999999999991473E-2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-2.1538461538461604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7.1428571428555188E-2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56"/>
  <dimension ref="A1:AE244"/>
  <sheetViews>
    <sheetView topLeftCell="A36" zoomScale="25" zoomScaleNormal="25" workbookViewId="0">
      <selection activeCell="S79" sqref="S7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37</v>
      </c>
      <c r="Q11" s="1022"/>
      <c r="R11" s="6"/>
      <c r="S11" s="1" t="s">
        <v>6</v>
      </c>
      <c r="T11" s="95">
        <v>45656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588">
        <v>91.2</v>
      </c>
      <c r="C18" s="589">
        <v>91.5</v>
      </c>
      <c r="D18" s="589">
        <v>90.5</v>
      </c>
      <c r="E18" s="589">
        <v>24.7</v>
      </c>
      <c r="F18" s="589">
        <v>92.6</v>
      </c>
      <c r="G18" s="589">
        <v>90.4</v>
      </c>
      <c r="H18" s="590">
        <v>92.6</v>
      </c>
      <c r="I18" s="591">
        <v>96.3</v>
      </c>
      <c r="J18" s="589">
        <v>95.2</v>
      </c>
      <c r="K18" s="589">
        <v>96.9</v>
      </c>
      <c r="L18" s="589">
        <v>26.8</v>
      </c>
      <c r="M18" s="589">
        <v>95.8</v>
      </c>
      <c r="N18" s="589">
        <v>97.4</v>
      </c>
      <c r="O18" s="589">
        <v>96.9</v>
      </c>
      <c r="P18" s="588">
        <v>97.1</v>
      </c>
      <c r="Q18" s="589">
        <v>98.1</v>
      </c>
      <c r="R18" s="589">
        <v>96.1</v>
      </c>
      <c r="S18" s="589">
        <v>26.6</v>
      </c>
      <c r="T18" s="589">
        <v>97.3</v>
      </c>
      <c r="U18" s="589">
        <v>96.5</v>
      </c>
      <c r="V18" s="590">
        <v>96.7</v>
      </c>
      <c r="W18" s="592">
        <f t="shared" ref="W18:W24" si="0">SUM(B18:V18)</f>
        <v>1787.1999999999996</v>
      </c>
      <c r="X18" s="593" t="s">
        <v>124</v>
      </c>
      <c r="Y18" s="2"/>
      <c r="Z18" s="15"/>
    </row>
    <row r="19" spans="1:31" ht="39.950000000000003" customHeight="1" x14ac:dyDescent="0.25">
      <c r="A19" s="146" t="s">
        <v>24</v>
      </c>
      <c r="B19" s="281">
        <v>91.2</v>
      </c>
      <c r="C19" s="282">
        <v>91.5</v>
      </c>
      <c r="D19" s="282">
        <v>90.5</v>
      </c>
      <c r="E19" s="282">
        <v>24.7</v>
      </c>
      <c r="F19" s="282">
        <v>92.6</v>
      </c>
      <c r="G19" s="282">
        <v>90.4</v>
      </c>
      <c r="H19" s="284">
        <v>92.6</v>
      </c>
      <c r="I19" s="285">
        <v>96.3</v>
      </c>
      <c r="J19" s="282">
        <v>95.2</v>
      </c>
      <c r="K19" s="282">
        <v>96.9</v>
      </c>
      <c r="L19" s="282">
        <v>26.8</v>
      </c>
      <c r="M19" s="282">
        <v>95.8</v>
      </c>
      <c r="N19" s="282">
        <v>97.4</v>
      </c>
      <c r="O19" s="282">
        <v>96.9</v>
      </c>
      <c r="P19" s="281">
        <v>97.1</v>
      </c>
      <c r="Q19" s="282">
        <v>98.1</v>
      </c>
      <c r="R19" s="282">
        <v>96.1</v>
      </c>
      <c r="S19" s="282">
        <v>26.6</v>
      </c>
      <c r="T19" s="282">
        <v>97.3</v>
      </c>
      <c r="U19" s="282">
        <v>96.5</v>
      </c>
      <c r="V19" s="284">
        <v>96.7</v>
      </c>
      <c r="W19" s="538">
        <f>SUM(B19:V19)</f>
        <v>1787.1999999999996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91.2</v>
      </c>
      <c r="C20" s="282">
        <v>91.5</v>
      </c>
      <c r="D20" s="282">
        <v>90.5</v>
      </c>
      <c r="E20" s="282">
        <v>24.7</v>
      </c>
      <c r="F20" s="282">
        <v>92.6</v>
      </c>
      <c r="G20" s="282">
        <v>90.4</v>
      </c>
      <c r="H20" s="284">
        <v>92.6</v>
      </c>
      <c r="I20" s="285">
        <v>96.3</v>
      </c>
      <c r="J20" s="282">
        <v>95.2</v>
      </c>
      <c r="K20" s="282">
        <v>96.9</v>
      </c>
      <c r="L20" s="282">
        <v>26.8</v>
      </c>
      <c r="M20" s="282">
        <v>95.8</v>
      </c>
      <c r="N20" s="282">
        <v>97.4</v>
      </c>
      <c r="O20" s="282">
        <v>96.9</v>
      </c>
      <c r="P20" s="281">
        <v>97.1</v>
      </c>
      <c r="Q20" s="282">
        <v>98</v>
      </c>
      <c r="R20" s="282">
        <v>96.1</v>
      </c>
      <c r="S20" s="282">
        <v>26.6</v>
      </c>
      <c r="T20" s="282">
        <v>97.2</v>
      </c>
      <c r="U20" s="282">
        <v>96.4</v>
      </c>
      <c r="V20" s="284">
        <v>96.7</v>
      </c>
      <c r="W20" s="538">
        <f t="shared" si="0"/>
        <v>1786.8999999999999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90.9</v>
      </c>
      <c r="C21" s="282">
        <v>91.2</v>
      </c>
      <c r="D21" s="282">
        <v>90.5</v>
      </c>
      <c r="E21" s="282">
        <v>23.6</v>
      </c>
      <c r="F21" s="282">
        <v>92.6</v>
      </c>
      <c r="G21" s="282">
        <v>90.3</v>
      </c>
      <c r="H21" s="284">
        <v>92.6</v>
      </c>
      <c r="I21" s="285">
        <v>96.3</v>
      </c>
      <c r="J21" s="282">
        <v>95.1</v>
      </c>
      <c r="K21" s="282">
        <v>96.9</v>
      </c>
      <c r="L21" s="282">
        <v>26.8</v>
      </c>
      <c r="M21" s="282">
        <v>95.8</v>
      </c>
      <c r="N21" s="282">
        <v>97.4</v>
      </c>
      <c r="O21" s="282">
        <v>96.7</v>
      </c>
      <c r="P21" s="281">
        <v>97.1</v>
      </c>
      <c r="Q21" s="282">
        <v>98</v>
      </c>
      <c r="R21" s="282">
        <v>96.1</v>
      </c>
      <c r="S21" s="282">
        <v>26.6</v>
      </c>
      <c r="T21" s="282">
        <v>97.2</v>
      </c>
      <c r="U21" s="282">
        <v>96.4</v>
      </c>
      <c r="V21" s="284">
        <v>96.5</v>
      </c>
      <c r="W21" s="538">
        <f t="shared" si="0"/>
        <v>1784.6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90.8</v>
      </c>
      <c r="C22" s="282">
        <v>91.2</v>
      </c>
      <c r="D22" s="282">
        <v>90.5</v>
      </c>
      <c r="E22" s="282">
        <v>23.5</v>
      </c>
      <c r="F22" s="282">
        <v>92.6</v>
      </c>
      <c r="G22" s="282">
        <v>90.3</v>
      </c>
      <c r="H22" s="284">
        <v>92.6</v>
      </c>
      <c r="I22" s="285">
        <v>96.3</v>
      </c>
      <c r="J22" s="282">
        <v>95.1</v>
      </c>
      <c r="K22" s="282">
        <v>97</v>
      </c>
      <c r="L22" s="282">
        <v>26.7</v>
      </c>
      <c r="M22" s="282">
        <v>95.8</v>
      </c>
      <c r="N22" s="282">
        <v>97.4</v>
      </c>
      <c r="O22" s="282">
        <v>96.3</v>
      </c>
      <c r="P22" s="281">
        <v>97.1</v>
      </c>
      <c r="Q22" s="282">
        <v>97.7</v>
      </c>
      <c r="R22" s="282">
        <v>96.2</v>
      </c>
      <c r="S22" s="282">
        <v>26.2</v>
      </c>
      <c r="T22" s="282">
        <v>97.2</v>
      </c>
      <c r="U22" s="282">
        <v>96.1</v>
      </c>
      <c r="V22" s="284">
        <v>96.5</v>
      </c>
      <c r="W22" s="538">
        <f t="shared" si="0"/>
        <v>1783.1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90.8</v>
      </c>
      <c r="C23" s="282">
        <v>91.1</v>
      </c>
      <c r="D23" s="282">
        <v>90.5</v>
      </c>
      <c r="E23" s="282">
        <v>23.5</v>
      </c>
      <c r="F23" s="282">
        <v>92.6</v>
      </c>
      <c r="G23" s="282">
        <v>90.3</v>
      </c>
      <c r="H23" s="284">
        <v>92.6</v>
      </c>
      <c r="I23" s="285">
        <v>96.2</v>
      </c>
      <c r="J23" s="282">
        <v>95.1</v>
      </c>
      <c r="K23" s="282">
        <v>96.3</v>
      </c>
      <c r="L23" s="282">
        <v>26.7</v>
      </c>
      <c r="M23" s="282">
        <v>95.8</v>
      </c>
      <c r="N23" s="282">
        <v>97.4</v>
      </c>
      <c r="O23" s="282">
        <v>96.2</v>
      </c>
      <c r="P23" s="281">
        <v>97</v>
      </c>
      <c r="Q23" s="282">
        <v>97.6</v>
      </c>
      <c r="R23" s="282">
        <v>96.1</v>
      </c>
      <c r="S23" s="282">
        <v>26.2</v>
      </c>
      <c r="T23" s="282">
        <v>97.2</v>
      </c>
      <c r="U23" s="282">
        <v>96</v>
      </c>
      <c r="V23" s="284">
        <v>96.5</v>
      </c>
      <c r="W23" s="98">
        <f t="shared" si="0"/>
        <v>1781.7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90.8</v>
      </c>
      <c r="C24" s="282">
        <v>91.1</v>
      </c>
      <c r="D24" s="282">
        <v>90.5</v>
      </c>
      <c r="E24" s="282">
        <v>23.5</v>
      </c>
      <c r="F24" s="282">
        <v>92.5</v>
      </c>
      <c r="G24" s="282">
        <v>90.3</v>
      </c>
      <c r="H24" s="284">
        <v>92.5</v>
      </c>
      <c r="I24" s="285">
        <v>96.2</v>
      </c>
      <c r="J24" s="282">
        <v>95.1</v>
      </c>
      <c r="K24" s="282">
        <v>96.3</v>
      </c>
      <c r="L24" s="282">
        <v>26.7</v>
      </c>
      <c r="M24" s="282">
        <v>95.7</v>
      </c>
      <c r="N24" s="282">
        <v>97.3</v>
      </c>
      <c r="O24" s="282">
        <v>96.2</v>
      </c>
      <c r="P24" s="281">
        <v>97</v>
      </c>
      <c r="Q24" s="282">
        <v>97.6</v>
      </c>
      <c r="R24" s="282">
        <v>96.1</v>
      </c>
      <c r="S24" s="282">
        <v>26.2</v>
      </c>
      <c r="T24" s="282">
        <v>97.2</v>
      </c>
      <c r="U24" s="282">
        <v>96</v>
      </c>
      <c r="V24" s="284">
        <v>96.5</v>
      </c>
      <c r="W24" s="98">
        <f t="shared" si="0"/>
        <v>1781.3000000000002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636.9</v>
      </c>
      <c r="C25" s="120">
        <f>SUM(C18:C24)</f>
        <v>639.1</v>
      </c>
      <c r="D25" s="120">
        <f t="shared" ref="D25:V25" si="1">SUM(D18:D24)</f>
        <v>633.5</v>
      </c>
      <c r="E25" s="120">
        <f>SUM(E18:E24)</f>
        <v>168.2</v>
      </c>
      <c r="F25" s="120">
        <f t="shared" si="1"/>
        <v>648.1</v>
      </c>
      <c r="G25" s="120">
        <f t="shared" si="1"/>
        <v>632.4</v>
      </c>
      <c r="H25" s="121">
        <f t="shared" si="1"/>
        <v>648.1</v>
      </c>
      <c r="I25" s="122">
        <f t="shared" si="1"/>
        <v>673.90000000000009</v>
      </c>
      <c r="J25" s="120">
        <f t="shared" si="1"/>
        <v>666.00000000000011</v>
      </c>
      <c r="K25" s="120">
        <f t="shared" si="1"/>
        <v>677.19999999999993</v>
      </c>
      <c r="L25" s="120">
        <f t="shared" si="1"/>
        <v>187.29999999999998</v>
      </c>
      <c r="M25" s="120">
        <f t="shared" si="1"/>
        <v>670.5</v>
      </c>
      <c r="N25" s="120">
        <f t="shared" si="1"/>
        <v>681.69999999999993</v>
      </c>
      <c r="O25" s="121">
        <f t="shared" si="1"/>
        <v>676.10000000000014</v>
      </c>
      <c r="P25" s="122">
        <f t="shared" si="1"/>
        <v>679.5</v>
      </c>
      <c r="Q25" s="120">
        <f t="shared" si="1"/>
        <v>685.1</v>
      </c>
      <c r="R25" s="120">
        <f t="shared" si="1"/>
        <v>672.8</v>
      </c>
      <c r="S25" s="120">
        <f>SUM(S18:S24)</f>
        <v>184.99999999999997</v>
      </c>
      <c r="T25" s="120">
        <f t="shared" si="1"/>
        <v>680.6</v>
      </c>
      <c r="U25" s="120">
        <f t="shared" si="1"/>
        <v>673.9</v>
      </c>
      <c r="V25" s="121">
        <f t="shared" si="1"/>
        <v>676.1</v>
      </c>
      <c r="W25" s="361">
        <f>SUM(W18:W24)</f>
        <v>12492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160.17999999999992</v>
      </c>
      <c r="C26" s="487">
        <v>160.17999999999992</v>
      </c>
      <c r="D26" s="487">
        <v>160.17999999999992</v>
      </c>
      <c r="E26" s="487">
        <v>160.17999999999992</v>
      </c>
      <c r="F26" s="487">
        <v>160.17999999999992</v>
      </c>
      <c r="G26" s="487">
        <v>160.17999999999992</v>
      </c>
      <c r="H26" s="487">
        <v>160.17999999999992</v>
      </c>
      <c r="I26" s="487">
        <v>160.17999999999992</v>
      </c>
      <c r="J26" s="487">
        <v>160.17999999999992</v>
      </c>
      <c r="K26" s="487">
        <v>160.17999999999992</v>
      </c>
      <c r="L26" s="487">
        <v>160.17999999999992</v>
      </c>
      <c r="M26" s="487">
        <v>160.17999999999992</v>
      </c>
      <c r="N26" s="487">
        <v>160.17999999999992</v>
      </c>
      <c r="O26" s="487">
        <v>160.17999999999992</v>
      </c>
      <c r="P26" s="487">
        <v>160.17999999999992</v>
      </c>
      <c r="Q26" s="487">
        <v>160.17999999999992</v>
      </c>
      <c r="R26" s="487">
        <v>160.17999999999992</v>
      </c>
      <c r="S26" s="487">
        <v>160.17999999999992</v>
      </c>
      <c r="T26" s="487">
        <v>160.17999999999992</v>
      </c>
      <c r="U26" s="487">
        <v>160.17999999999992</v>
      </c>
      <c r="V26" s="487">
        <v>160.17999999999992</v>
      </c>
      <c r="W26" s="99">
        <f>((W25/W27)/7)*1000</f>
        <v>160.19492177481405</v>
      </c>
    </row>
    <row r="27" spans="1:31" s="2" customFormat="1" ht="33" customHeight="1" x14ac:dyDescent="0.25">
      <c r="A27" s="149" t="s">
        <v>12</v>
      </c>
      <c r="B27" s="26">
        <v>568</v>
      </c>
      <c r="C27" s="27">
        <v>570</v>
      </c>
      <c r="D27" s="27">
        <v>565</v>
      </c>
      <c r="E27" s="27">
        <v>150</v>
      </c>
      <c r="F27" s="27">
        <v>577</v>
      </c>
      <c r="G27" s="27">
        <v>564</v>
      </c>
      <c r="H27" s="28">
        <v>578</v>
      </c>
      <c r="I27" s="26">
        <v>601</v>
      </c>
      <c r="J27" s="27">
        <v>594</v>
      </c>
      <c r="K27" s="27">
        <v>604</v>
      </c>
      <c r="L27" s="27">
        <v>167</v>
      </c>
      <c r="M27" s="27">
        <v>598</v>
      </c>
      <c r="N27" s="27">
        <v>608</v>
      </c>
      <c r="O27" s="28">
        <v>603</v>
      </c>
      <c r="P27" s="26">
        <v>606</v>
      </c>
      <c r="Q27" s="27">
        <v>611</v>
      </c>
      <c r="R27" s="27">
        <v>600</v>
      </c>
      <c r="S27" s="27">
        <v>165</v>
      </c>
      <c r="T27" s="27">
        <v>607</v>
      </c>
      <c r="U27" s="27">
        <v>601</v>
      </c>
      <c r="V27" s="28">
        <v>603</v>
      </c>
      <c r="W27" s="29">
        <f>SUM(B27:V27)</f>
        <v>11140</v>
      </c>
    </row>
    <row r="28" spans="1:31" s="2" customFormat="1" ht="33" customHeight="1" x14ac:dyDescent="0.25">
      <c r="A28" s="150" t="s">
        <v>13</v>
      </c>
      <c r="B28" s="30">
        <f>(((((B26*7)*B27)/1000))/7)</f>
        <v>90.982239999999948</v>
      </c>
      <c r="C28" s="30">
        <f t="shared" ref="C28:V28" si="2">(((((C26*7)*C27)/1000))/7)</f>
        <v>91.30259999999997</v>
      </c>
      <c r="D28" s="30">
        <f t="shared" si="2"/>
        <v>90.501699999999957</v>
      </c>
      <c r="E28" s="30">
        <f t="shared" si="2"/>
        <v>24.02699999999999</v>
      </c>
      <c r="F28" s="30">
        <f t="shared" si="2"/>
        <v>92.423859999999976</v>
      </c>
      <c r="G28" s="30">
        <f t="shared" si="2"/>
        <v>90.34151999999996</v>
      </c>
      <c r="H28" s="30">
        <f t="shared" si="2"/>
        <v>92.584039999999959</v>
      </c>
      <c r="I28" s="30">
        <f t="shared" si="2"/>
        <v>96.268179999999958</v>
      </c>
      <c r="J28" s="30">
        <f t="shared" si="2"/>
        <v>95.146919999999952</v>
      </c>
      <c r="K28" s="30">
        <f t="shared" si="2"/>
        <v>96.748719999999949</v>
      </c>
      <c r="L28" s="30">
        <f t="shared" si="2"/>
        <v>26.750059999999991</v>
      </c>
      <c r="M28" s="30">
        <f t="shared" si="2"/>
        <v>95.787639999999968</v>
      </c>
      <c r="N28" s="30">
        <f t="shared" si="2"/>
        <v>97.389439999999951</v>
      </c>
      <c r="O28" s="30">
        <f t="shared" si="2"/>
        <v>96.588539999999952</v>
      </c>
      <c r="P28" s="30">
        <f t="shared" si="2"/>
        <v>97.069079999999957</v>
      </c>
      <c r="Q28" s="30">
        <f t="shared" si="2"/>
        <v>97.869979999999956</v>
      </c>
      <c r="R28" s="30">
        <f t="shared" si="2"/>
        <v>96.107999999999961</v>
      </c>
      <c r="S28" s="30">
        <f t="shared" si="2"/>
        <v>26.429699999999993</v>
      </c>
      <c r="T28" s="30">
        <f t="shared" si="2"/>
        <v>97.229259999999954</v>
      </c>
      <c r="U28" s="30">
        <f t="shared" si="2"/>
        <v>96.268179999999958</v>
      </c>
      <c r="V28" s="30">
        <f t="shared" si="2"/>
        <v>96.588539999999952</v>
      </c>
      <c r="W28" s="362">
        <f>((W25*1000)/7)/W27</f>
        <v>160.19492177481405</v>
      </c>
    </row>
    <row r="29" spans="1:31" ht="33.75" customHeight="1" x14ac:dyDescent="0.25">
      <c r="A29" s="151" t="s">
        <v>14</v>
      </c>
      <c r="B29" s="281">
        <f>((B27*B26)*7)/1000</f>
        <v>636.87567999999965</v>
      </c>
      <c r="C29" s="282">
        <f>((C27*C26)*7)/1000</f>
        <v>639.11819999999977</v>
      </c>
      <c r="D29" s="282">
        <f t="shared" ref="D29:V29" si="3">((D27*D26)*7)/1000</f>
        <v>633.51189999999963</v>
      </c>
      <c r="E29" s="282">
        <f t="shared" si="3"/>
        <v>168.18899999999991</v>
      </c>
      <c r="F29" s="282">
        <f t="shared" si="3"/>
        <v>646.96701999999971</v>
      </c>
      <c r="G29" s="282">
        <f t="shared" si="3"/>
        <v>632.39063999999962</v>
      </c>
      <c r="H29" s="284">
        <f t="shared" si="3"/>
        <v>648.08827999999971</v>
      </c>
      <c r="I29" s="281">
        <f t="shared" si="3"/>
        <v>673.87725999999964</v>
      </c>
      <c r="J29" s="282">
        <f t="shared" si="3"/>
        <v>666.0284399999997</v>
      </c>
      <c r="K29" s="282">
        <f t="shared" si="3"/>
        <v>677.24103999999966</v>
      </c>
      <c r="L29" s="282">
        <f t="shared" si="3"/>
        <v>187.25041999999991</v>
      </c>
      <c r="M29" s="282">
        <f t="shared" si="3"/>
        <v>670.51347999999973</v>
      </c>
      <c r="N29" s="282">
        <f t="shared" si="3"/>
        <v>681.72607999999968</v>
      </c>
      <c r="O29" s="284">
        <f t="shared" si="3"/>
        <v>676.11977999999965</v>
      </c>
      <c r="P29" s="281">
        <f t="shared" si="3"/>
        <v>679.48355999999967</v>
      </c>
      <c r="Q29" s="282">
        <f t="shared" si="3"/>
        <v>685.08985999999959</v>
      </c>
      <c r="R29" s="282">
        <f t="shared" si="3"/>
        <v>672.75599999999963</v>
      </c>
      <c r="S29" s="282">
        <f t="shared" si="3"/>
        <v>185.00789999999989</v>
      </c>
      <c r="T29" s="282">
        <f t="shared" si="3"/>
        <v>680.60481999999956</v>
      </c>
      <c r="U29" s="282">
        <f t="shared" si="3"/>
        <v>673.87725999999964</v>
      </c>
      <c r="V29" s="284">
        <f t="shared" si="3"/>
        <v>676.11977999999965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160.18611670020118</v>
      </c>
      <c r="C30" s="38">
        <f t="shared" ref="C30:V30" si="4">+(C25/C27)/7*1000</f>
        <v>160.17543859649126</v>
      </c>
      <c r="D30" s="38">
        <f t="shared" si="4"/>
        <v>160.17699115044249</v>
      </c>
      <c r="E30" s="38">
        <f t="shared" si="4"/>
        <v>160.19047619047618</v>
      </c>
      <c r="F30" s="38">
        <f t="shared" si="4"/>
        <v>160.46051002723448</v>
      </c>
      <c r="G30" s="38">
        <f t="shared" si="4"/>
        <v>160.18237082066869</v>
      </c>
      <c r="H30" s="39">
        <f t="shared" si="4"/>
        <v>160.182896688087</v>
      </c>
      <c r="I30" s="37">
        <f t="shared" si="4"/>
        <v>160.18540527691943</v>
      </c>
      <c r="J30" s="38">
        <f t="shared" si="4"/>
        <v>160.1731601731602</v>
      </c>
      <c r="K30" s="38">
        <f t="shared" si="4"/>
        <v>160.17029328287606</v>
      </c>
      <c r="L30" s="38">
        <f t="shared" si="4"/>
        <v>160.22241231822071</v>
      </c>
      <c r="M30" s="38">
        <f t="shared" si="4"/>
        <v>160.17677974199711</v>
      </c>
      <c r="N30" s="38">
        <f t="shared" si="4"/>
        <v>160.17387218045113</v>
      </c>
      <c r="O30" s="39">
        <f t="shared" si="4"/>
        <v>160.17531390665724</v>
      </c>
      <c r="P30" s="37">
        <f t="shared" si="4"/>
        <v>160.18387553041021</v>
      </c>
      <c r="Q30" s="38">
        <f t="shared" si="4"/>
        <v>160.18237082066869</v>
      </c>
      <c r="R30" s="38">
        <f t="shared" si="4"/>
        <v>160.19047619047618</v>
      </c>
      <c r="S30" s="38">
        <f t="shared" si="4"/>
        <v>160.17316017316017</v>
      </c>
      <c r="T30" s="38">
        <f t="shared" si="4"/>
        <v>160.17886561543895</v>
      </c>
      <c r="U30" s="38">
        <f t="shared" si="4"/>
        <v>160.1854052769194</v>
      </c>
      <c r="V30" s="39">
        <f t="shared" si="4"/>
        <v>160.17531390665721</v>
      </c>
      <c r="W30" s="40"/>
    </row>
    <row r="31" spans="1:31" ht="33.75" customHeight="1" x14ac:dyDescent="0.25">
      <c r="A31" s="41"/>
      <c r="B31" s="42">
        <f>B29-B25</f>
        <v>-2.4320000000329856E-2</v>
      </c>
      <c r="C31" s="42">
        <f t="shared" ref="C31:V32" si="5">C29-C25</f>
        <v>1.8199999999751526E-2</v>
      </c>
      <c r="D31" s="42">
        <f t="shared" si="5"/>
        <v>1.1899999999627653E-2</v>
      </c>
      <c r="E31" s="42">
        <f t="shared" si="5"/>
        <v>-1.1000000000080945E-2</v>
      </c>
      <c r="F31" s="42">
        <f t="shared" si="5"/>
        <v>-1.1329800000003161</v>
      </c>
      <c r="G31" s="42">
        <f t="shared" si="5"/>
        <v>-9.3600000003561945E-3</v>
      </c>
      <c r="H31" s="42">
        <f t="shared" si="5"/>
        <v>-1.1720000000309483E-2</v>
      </c>
      <c r="I31" s="42">
        <f t="shared" si="5"/>
        <v>-2.274000000045362E-2</v>
      </c>
      <c r="J31" s="42">
        <f t="shared" si="5"/>
        <v>2.8439999999591237E-2</v>
      </c>
      <c r="K31" s="42">
        <f t="shared" si="5"/>
        <v>4.1039999999725296E-2</v>
      </c>
      <c r="L31" s="42">
        <f t="shared" si="5"/>
        <v>-4.9580000000077007E-2</v>
      </c>
      <c r="M31" s="42">
        <f t="shared" si="5"/>
        <v>1.3479999999731263E-2</v>
      </c>
      <c r="N31" s="42">
        <f t="shared" si="5"/>
        <v>2.6079999999751635E-2</v>
      </c>
      <c r="O31" s="42">
        <f t="shared" si="5"/>
        <v>1.9779999999514075E-2</v>
      </c>
      <c r="P31" s="42">
        <f t="shared" si="5"/>
        <v>-1.6440000000329746E-2</v>
      </c>
      <c r="Q31" s="42">
        <f t="shared" si="5"/>
        <v>-1.0140000000433247E-2</v>
      </c>
      <c r="R31" s="42">
        <f t="shared" si="5"/>
        <v>-4.400000000032378E-2</v>
      </c>
      <c r="S31" s="42">
        <f t="shared" si="5"/>
        <v>7.8999999999211923E-3</v>
      </c>
      <c r="T31" s="42">
        <f t="shared" si="5"/>
        <v>4.8199999995404141E-3</v>
      </c>
      <c r="U31" s="42">
        <f t="shared" si="5"/>
        <v>-2.2740000000339933E-2</v>
      </c>
      <c r="V31" s="42">
        <f t="shared" si="5"/>
        <v>1.9779999999627762E-2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6.1167002012609828E-3</v>
      </c>
      <c r="C32" s="42">
        <f t="shared" si="5"/>
        <v>-4.5614035086600779E-3</v>
      </c>
      <c r="D32" s="42">
        <f t="shared" si="5"/>
        <v>-3.0088495574318586E-3</v>
      </c>
      <c r="E32" s="42">
        <f t="shared" si="5"/>
        <v>1.0476190476254033E-2</v>
      </c>
      <c r="F32" s="42">
        <f t="shared" si="5"/>
        <v>0.28051002723455554</v>
      </c>
      <c r="G32" s="42">
        <f t="shared" si="5"/>
        <v>2.3708206687729216E-3</v>
      </c>
      <c r="H32" s="42">
        <f t="shared" si="5"/>
        <v>2.8966880870768819E-3</v>
      </c>
      <c r="I32" s="42">
        <f t="shared" si="5"/>
        <v>5.4052769195038763E-3</v>
      </c>
      <c r="J32" s="42">
        <f t="shared" si="5"/>
        <v>-6.8398268397231732E-3</v>
      </c>
      <c r="K32" s="42">
        <f t="shared" si="5"/>
        <v>-9.7067171238620631E-3</v>
      </c>
      <c r="L32" s="42">
        <f t="shared" si="5"/>
        <v>4.2412318220783618E-2</v>
      </c>
      <c r="M32" s="42">
        <f t="shared" si="5"/>
        <v>-3.2202580028126704E-3</v>
      </c>
      <c r="N32" s="42">
        <f t="shared" si="5"/>
        <v>-6.1278195487943776E-3</v>
      </c>
      <c r="O32" s="42">
        <f t="shared" si="5"/>
        <v>-4.6860933426842166E-3</v>
      </c>
      <c r="P32" s="42">
        <f t="shared" si="5"/>
        <v>3.8755304102835453E-3</v>
      </c>
      <c r="Q32" s="42">
        <f>Q30-Q26</f>
        <v>2.3708206687729216E-3</v>
      </c>
      <c r="R32" s="42">
        <f t="shared" si="5"/>
        <v>1.0476190476254033E-2</v>
      </c>
      <c r="S32" s="42">
        <f t="shared" si="5"/>
        <v>-6.8398268397515949E-3</v>
      </c>
      <c r="T32" s="42">
        <f t="shared" si="5"/>
        <v>-1.1343845609701475E-3</v>
      </c>
      <c r="U32" s="42">
        <f t="shared" si="5"/>
        <v>5.4052769194754546E-3</v>
      </c>
      <c r="V32" s="42">
        <f t="shared" si="5"/>
        <v>-4.6860933427126383E-3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87.8</v>
      </c>
      <c r="C39" s="282">
        <v>88</v>
      </c>
      <c r="D39" s="282">
        <v>19.399999999999999</v>
      </c>
      <c r="E39" s="282">
        <v>90.5</v>
      </c>
      <c r="F39" s="282">
        <v>89.9</v>
      </c>
      <c r="G39" s="284">
        <v>91</v>
      </c>
      <c r="H39" s="540">
        <f t="shared" ref="H39:H46" si="6">SUM(B39:G39)</f>
        <v>466.6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87.8</v>
      </c>
      <c r="C40" s="282">
        <v>88</v>
      </c>
      <c r="D40" s="282">
        <v>19.399999999999999</v>
      </c>
      <c r="E40" s="282">
        <v>90.5</v>
      </c>
      <c r="F40" s="282">
        <v>89.9</v>
      </c>
      <c r="G40" s="284">
        <v>91</v>
      </c>
      <c r="H40" s="539">
        <f t="shared" si="6"/>
        <v>466.6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87.8</v>
      </c>
      <c r="C41" s="282">
        <v>88</v>
      </c>
      <c r="D41" s="282">
        <v>19.399999999999999</v>
      </c>
      <c r="E41" s="282">
        <v>90.5</v>
      </c>
      <c r="F41" s="282">
        <v>89.9</v>
      </c>
      <c r="G41" s="284">
        <v>91</v>
      </c>
      <c r="H41" s="539">
        <f t="shared" si="6"/>
        <v>466.6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87.8</v>
      </c>
      <c r="C42" s="282">
        <v>87.7</v>
      </c>
      <c r="D42" s="282">
        <v>19.100000000000001</v>
      </c>
      <c r="E42" s="282">
        <v>90.2</v>
      </c>
      <c r="F42" s="282">
        <v>89.6</v>
      </c>
      <c r="G42" s="284">
        <v>90.7</v>
      </c>
      <c r="H42" s="539">
        <f t="shared" si="6"/>
        <v>465.09999999999997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87.8</v>
      </c>
      <c r="C43" s="282">
        <v>87.3</v>
      </c>
      <c r="D43" s="282">
        <v>19.100000000000001</v>
      </c>
      <c r="E43" s="282">
        <v>90.2</v>
      </c>
      <c r="F43" s="282">
        <v>89.5</v>
      </c>
      <c r="G43" s="284">
        <v>90.6</v>
      </c>
      <c r="H43" s="539">
        <f t="shared" si="6"/>
        <v>464.5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87.3</v>
      </c>
      <c r="D44" s="282">
        <v>19</v>
      </c>
      <c r="E44" s="282">
        <v>90.2</v>
      </c>
      <c r="F44" s="282">
        <v>89.5</v>
      </c>
      <c r="G44" s="284">
        <v>90.6</v>
      </c>
      <c r="H44" s="264">
        <f t="shared" si="6"/>
        <v>464.4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87.8</v>
      </c>
      <c r="C45" s="282">
        <v>87.2</v>
      </c>
      <c r="D45" s="282">
        <v>19</v>
      </c>
      <c r="E45" s="282">
        <v>90.1</v>
      </c>
      <c r="F45" s="282">
        <v>89.5</v>
      </c>
      <c r="G45" s="284">
        <v>90.6</v>
      </c>
      <c r="H45" s="265">
        <f t="shared" si="6"/>
        <v>464.20000000000005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614.59999999999991</v>
      </c>
      <c r="C46" s="120">
        <f t="shared" si="8"/>
        <v>613.5</v>
      </c>
      <c r="D46" s="120">
        <f t="shared" si="8"/>
        <v>134.4</v>
      </c>
      <c r="E46" s="120">
        <f t="shared" si="8"/>
        <v>632.20000000000005</v>
      </c>
      <c r="F46" s="120">
        <f t="shared" si="8"/>
        <v>627.80000000000007</v>
      </c>
      <c r="G46" s="121">
        <f t="shared" si="8"/>
        <v>635.5</v>
      </c>
      <c r="H46" s="560">
        <f t="shared" si="6"/>
        <v>3258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157.33999999999997</v>
      </c>
      <c r="C47" s="555">
        <v>157.33999999999997</v>
      </c>
      <c r="D47" s="555">
        <v>157.33999999999997</v>
      </c>
      <c r="E47" s="555">
        <v>157.33999999999997</v>
      </c>
      <c r="F47" s="555">
        <v>157.33999999999997</v>
      </c>
      <c r="G47" s="555">
        <v>157.33999999999997</v>
      </c>
      <c r="H47" s="234">
        <f>+((H46/H48)/7)*1000</f>
        <v>157.34569689944942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557</v>
      </c>
      <c r="D48" s="27">
        <v>122</v>
      </c>
      <c r="E48" s="27">
        <v>574</v>
      </c>
      <c r="F48" s="27">
        <v>570</v>
      </c>
      <c r="G48" s="28">
        <v>577</v>
      </c>
      <c r="H48" s="256">
        <f>SUM(B48:G48)</f>
        <v>2958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87.795719999999989</v>
      </c>
      <c r="C49" s="30">
        <f t="shared" ref="C49:G49" si="10">(((((C47*7)*C48)/1000)/7))</f>
        <v>87.638379999999984</v>
      </c>
      <c r="D49" s="30">
        <f t="shared" si="10"/>
        <v>19.19548</v>
      </c>
      <c r="E49" s="30">
        <f t="shared" si="10"/>
        <v>90.313159999999996</v>
      </c>
      <c r="F49" s="30">
        <f t="shared" si="10"/>
        <v>89.683800000000005</v>
      </c>
      <c r="G49" s="30">
        <f t="shared" si="10"/>
        <v>90.785179999999983</v>
      </c>
      <c r="H49" s="257">
        <f>((H46*1000)/H48)/7</f>
        <v>157.34569689944942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614.57003999999995</v>
      </c>
      <c r="C50" s="282">
        <f t="shared" ref="C50:G50" si="12">((C48*C47)*7)/1000</f>
        <v>613.46865999999989</v>
      </c>
      <c r="D50" s="282">
        <f t="shared" si="12"/>
        <v>134.36836</v>
      </c>
      <c r="E50" s="282">
        <f t="shared" si="12"/>
        <v>632.19211999999993</v>
      </c>
      <c r="F50" s="282">
        <f t="shared" si="12"/>
        <v>627.78659999999991</v>
      </c>
      <c r="G50" s="284">
        <f t="shared" si="12"/>
        <v>635.49625999999989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157.34767025089602</v>
      </c>
      <c r="C51" s="38">
        <f t="shared" si="14"/>
        <v>157.34803795845087</v>
      </c>
      <c r="D51" s="38">
        <f t="shared" si="14"/>
        <v>157.37704918032787</v>
      </c>
      <c r="E51" s="38">
        <f t="shared" si="14"/>
        <v>157.34196117471379</v>
      </c>
      <c r="F51" s="38">
        <f t="shared" si="14"/>
        <v>157.34335839599001</v>
      </c>
      <c r="G51" s="39">
        <f t="shared" si="14"/>
        <v>157.34092597177522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-2.9959999999960019E-2</v>
      </c>
      <c r="C52" s="42">
        <f t="shared" ref="C52:G53" si="16">C50-C46</f>
        <v>-3.1340000000113832E-2</v>
      </c>
      <c r="D52" s="42">
        <f t="shared" si="16"/>
        <v>-3.1640000000010104E-2</v>
      </c>
      <c r="E52" s="42">
        <f t="shared" si="16"/>
        <v>-7.880000000113796E-3</v>
      </c>
      <c r="F52" s="42">
        <f t="shared" si="16"/>
        <v>-1.3400000000160617E-2</v>
      </c>
      <c r="G52" s="42">
        <f t="shared" si="16"/>
        <v>-3.7400000001071021E-3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7.6702508960408977E-3</v>
      </c>
      <c r="C53" s="42">
        <f t="shared" si="16"/>
        <v>8.037958450898941E-3</v>
      </c>
      <c r="D53" s="42">
        <f t="shared" si="16"/>
        <v>3.7049180327898057E-2</v>
      </c>
      <c r="E53" s="42">
        <f t="shared" si="16"/>
        <v>1.9611747138128521E-3</v>
      </c>
      <c r="F53" s="42">
        <f t="shared" si="16"/>
        <v>3.3583959900340687E-3</v>
      </c>
      <c r="G53" s="42">
        <f t="shared" si="16"/>
        <v>9.2597177524567087E-4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61"/>
      <c r="C54" s="1061"/>
      <c r="D54" s="106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87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7.8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7.1</v>
      </c>
      <c r="C64" s="282">
        <v>7.3</v>
      </c>
      <c r="D64" s="282">
        <v>6.9</v>
      </c>
      <c r="E64" s="282">
        <v>1.7</v>
      </c>
      <c r="F64" s="282">
        <v>7</v>
      </c>
      <c r="G64" s="282">
        <v>7.1</v>
      </c>
      <c r="H64" s="283">
        <v>7.3</v>
      </c>
      <c r="I64" s="281">
        <v>7.8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142.80000000000001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7.1</v>
      </c>
      <c r="C65" s="282">
        <v>7.3</v>
      </c>
      <c r="D65" s="282">
        <v>6.9</v>
      </c>
      <c r="E65" s="282">
        <v>1.7</v>
      </c>
      <c r="F65" s="282">
        <v>6.9</v>
      </c>
      <c r="G65" s="282">
        <v>7.1</v>
      </c>
      <c r="H65" s="283">
        <v>7.2</v>
      </c>
      <c r="I65" s="281">
        <v>6.3</v>
      </c>
      <c r="J65" s="282">
        <v>7.6</v>
      </c>
      <c r="K65" s="282">
        <v>5.7</v>
      </c>
      <c r="L65" s="561">
        <v>2</v>
      </c>
      <c r="M65" s="561">
        <v>7</v>
      </c>
      <c r="N65" s="282">
        <v>7</v>
      </c>
      <c r="O65" s="474">
        <v>6.6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136.6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</v>
      </c>
      <c r="C66" s="282">
        <v>7.2</v>
      </c>
      <c r="D66" s="282">
        <v>6.8</v>
      </c>
      <c r="E66" s="282">
        <v>1.7</v>
      </c>
      <c r="F66" s="282">
        <v>6.9</v>
      </c>
      <c r="G66" s="282">
        <v>7.1</v>
      </c>
      <c r="H66" s="283">
        <v>7.2</v>
      </c>
      <c r="I66" s="281">
        <v>6.3</v>
      </c>
      <c r="J66" s="561">
        <v>7.5</v>
      </c>
      <c r="K66" s="282">
        <v>5.7</v>
      </c>
      <c r="L66" s="561">
        <v>2</v>
      </c>
      <c r="M66" s="561">
        <v>6.9</v>
      </c>
      <c r="N66" s="282">
        <v>6.9</v>
      </c>
      <c r="O66" s="474">
        <v>6.6</v>
      </c>
      <c r="P66" s="586">
        <v>8</v>
      </c>
      <c r="Q66" s="561">
        <v>8</v>
      </c>
      <c r="R66" s="561">
        <v>7.9</v>
      </c>
      <c r="S66" s="561">
        <v>2.1</v>
      </c>
      <c r="T66" s="561">
        <v>8.1</v>
      </c>
      <c r="U66" s="561">
        <v>8.3000000000000007</v>
      </c>
      <c r="V66" s="474">
        <v>7.9</v>
      </c>
      <c r="W66" s="265">
        <f t="shared" si="18"/>
        <v>136.10000000000002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52.800000000000004</v>
      </c>
      <c r="C67" s="120">
        <f>SUM(C60:C66)</f>
        <v>52.8</v>
      </c>
      <c r="D67" s="120">
        <f t="shared" ref="D67:V67" si="19">SUM(D60:D66)</f>
        <v>52.399999999999991</v>
      </c>
      <c r="E67" s="120">
        <f t="shared" si="19"/>
        <v>13.099999999999998</v>
      </c>
      <c r="F67" s="120">
        <f t="shared" si="19"/>
        <v>52.4</v>
      </c>
      <c r="G67" s="120">
        <f t="shared" si="19"/>
        <v>52.1</v>
      </c>
      <c r="H67" s="121">
        <f t="shared" si="19"/>
        <v>52.1</v>
      </c>
      <c r="I67" s="119">
        <f t="shared" si="19"/>
        <v>52.79999999999999</v>
      </c>
      <c r="J67" s="120">
        <f t="shared" si="19"/>
        <v>52.800000000000004</v>
      </c>
      <c r="K67" s="120">
        <f t="shared" si="19"/>
        <v>52.400000000000006</v>
      </c>
      <c r="L67" s="120">
        <f t="shared" si="19"/>
        <v>10.4</v>
      </c>
      <c r="M67" s="120">
        <f t="shared" si="19"/>
        <v>53.5</v>
      </c>
      <c r="N67" s="120">
        <f t="shared" si="19"/>
        <v>53.199999999999996</v>
      </c>
      <c r="O67" s="121">
        <f t="shared" si="19"/>
        <v>53.2</v>
      </c>
      <c r="P67" s="119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1005.5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155.45763760049473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48</v>
      </c>
      <c r="C69" s="27">
        <v>48</v>
      </c>
      <c r="D69" s="27">
        <v>48</v>
      </c>
      <c r="E69" s="27">
        <v>12</v>
      </c>
      <c r="F69" s="27">
        <v>48</v>
      </c>
      <c r="G69" s="27">
        <v>48</v>
      </c>
      <c r="H69" s="28">
        <v>48</v>
      </c>
      <c r="I69" s="64">
        <v>48</v>
      </c>
      <c r="J69" s="27">
        <v>48</v>
      </c>
      <c r="K69" s="27">
        <v>48</v>
      </c>
      <c r="L69" s="27">
        <v>13</v>
      </c>
      <c r="M69" s="27">
        <v>49</v>
      </c>
      <c r="N69" s="27">
        <v>49</v>
      </c>
      <c r="O69" s="28">
        <v>49</v>
      </c>
      <c r="P69" s="64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924</v>
      </c>
      <c r="X69" s="244"/>
    </row>
    <row r="70" spans="1:26" ht="33.75" customHeight="1" x14ac:dyDescent="0.25">
      <c r="A70" s="150" t="s">
        <v>13</v>
      </c>
      <c r="B70" s="30">
        <f>((((B68*7)*B69)/1000)/7)</f>
        <v>7.5360000000000005</v>
      </c>
      <c r="C70" s="31">
        <f t="shared" ref="C70:V70" si="20">((((C68*7)*C69)/1000)/7)</f>
        <v>7.5360000000000005</v>
      </c>
      <c r="D70" s="31">
        <f t="shared" si="20"/>
        <v>7.4879999999999995</v>
      </c>
      <c r="E70" s="31">
        <f t="shared" si="20"/>
        <v>1.8719999999999999</v>
      </c>
      <c r="F70" s="31">
        <f t="shared" si="20"/>
        <v>7.4879999999999995</v>
      </c>
      <c r="G70" s="31">
        <f t="shared" si="20"/>
        <v>7.4399999999999995</v>
      </c>
      <c r="H70" s="32">
        <f t="shared" si="20"/>
        <v>7.4399999999999995</v>
      </c>
      <c r="I70" s="65">
        <f t="shared" si="20"/>
        <v>7.5360000000000005</v>
      </c>
      <c r="J70" s="31">
        <f t="shared" si="20"/>
        <v>7.5360000000000005</v>
      </c>
      <c r="K70" s="31">
        <f t="shared" si="20"/>
        <v>7.4879999999999995</v>
      </c>
      <c r="L70" s="31">
        <f t="shared" si="20"/>
        <v>2.028</v>
      </c>
      <c r="M70" s="31">
        <f t="shared" si="20"/>
        <v>7.6440000000000001</v>
      </c>
      <c r="N70" s="31">
        <f t="shared" si="20"/>
        <v>7.5949999999999998</v>
      </c>
      <c r="O70" s="32">
        <f t="shared" si="20"/>
        <v>7.5949999999999998</v>
      </c>
      <c r="P70" s="65">
        <f t="shared" si="20"/>
        <v>8.0579999999999998</v>
      </c>
      <c r="Q70" s="31">
        <f t="shared" si="20"/>
        <v>7.8500000000000005</v>
      </c>
      <c r="R70" s="31">
        <f t="shared" si="20"/>
        <v>7.8500000000000005</v>
      </c>
      <c r="S70" s="31">
        <f t="shared" si="20"/>
        <v>2.0539999999999998</v>
      </c>
      <c r="T70" s="31">
        <f t="shared" si="20"/>
        <v>8.06</v>
      </c>
      <c r="U70" s="31">
        <f t="shared" si="20"/>
        <v>8.2149999999999999</v>
      </c>
      <c r="V70" s="32">
        <f t="shared" si="20"/>
        <v>7.8285</v>
      </c>
      <c r="W70" s="362">
        <f>((W67*1000)/7)/W69</f>
        <v>155.45763760049473</v>
      </c>
      <c r="X70" s="244"/>
    </row>
    <row r="71" spans="1:26" ht="33.75" customHeight="1" x14ac:dyDescent="0.25">
      <c r="A71" s="151" t="s">
        <v>14</v>
      </c>
      <c r="B71" s="281">
        <f>((B69*B68)*7)/1000</f>
        <v>52.752000000000002</v>
      </c>
      <c r="C71" s="282">
        <f>((C69*C68)*7)/1000</f>
        <v>52.752000000000002</v>
      </c>
      <c r="D71" s="282">
        <f t="shared" ref="D71:V71" si="21">((D69*D68)*7)/1000</f>
        <v>52.415999999999997</v>
      </c>
      <c r="E71" s="282">
        <f t="shared" si="21"/>
        <v>13.103999999999999</v>
      </c>
      <c r="F71" s="282">
        <f t="shared" si="21"/>
        <v>52.415999999999997</v>
      </c>
      <c r="G71" s="282">
        <f t="shared" si="21"/>
        <v>52.08</v>
      </c>
      <c r="H71" s="284">
        <f t="shared" si="21"/>
        <v>52.08</v>
      </c>
      <c r="I71" s="285">
        <f t="shared" si="21"/>
        <v>52.752000000000002</v>
      </c>
      <c r="J71" s="282">
        <f t="shared" si="21"/>
        <v>52.752000000000002</v>
      </c>
      <c r="K71" s="282">
        <f t="shared" si="21"/>
        <v>52.415999999999997</v>
      </c>
      <c r="L71" s="282">
        <f t="shared" si="21"/>
        <v>14.196</v>
      </c>
      <c r="M71" s="282">
        <f t="shared" si="21"/>
        <v>53.508000000000003</v>
      </c>
      <c r="N71" s="282">
        <f t="shared" si="21"/>
        <v>53.164999999999999</v>
      </c>
      <c r="O71" s="284">
        <f t="shared" si="21"/>
        <v>53.164999999999999</v>
      </c>
      <c r="P71" s="285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157.14285714285717</v>
      </c>
      <c r="C72" s="38">
        <f t="shared" ref="C72:V72" si="22">+(C67/C69)/7*1000</f>
        <v>157.14285714285711</v>
      </c>
      <c r="D72" s="38">
        <f t="shared" si="22"/>
        <v>155.95238095238093</v>
      </c>
      <c r="E72" s="38">
        <f>+(E67/E69)/7*1000</f>
        <v>155.95238095238093</v>
      </c>
      <c r="F72" s="38">
        <f t="shared" si="22"/>
        <v>155.95238095238093</v>
      </c>
      <c r="G72" s="38">
        <f t="shared" si="22"/>
        <v>155.05952380952382</v>
      </c>
      <c r="H72" s="39">
        <f t="shared" si="22"/>
        <v>155.05952380952382</v>
      </c>
      <c r="I72" s="67">
        <f t="shared" si="22"/>
        <v>157.14285714285711</v>
      </c>
      <c r="J72" s="38">
        <f t="shared" si="22"/>
        <v>157.14285714285717</v>
      </c>
      <c r="K72" s="38">
        <f t="shared" si="22"/>
        <v>155.95238095238099</v>
      </c>
      <c r="L72" s="38">
        <f t="shared" si="22"/>
        <v>114.28571428571429</v>
      </c>
      <c r="M72" s="38">
        <f t="shared" si="22"/>
        <v>155.97667638483964</v>
      </c>
      <c r="N72" s="38">
        <f t="shared" si="22"/>
        <v>155.10204081632654</v>
      </c>
      <c r="O72" s="39">
        <f t="shared" si="22"/>
        <v>155.10204081632656</v>
      </c>
      <c r="P72" s="6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-4.7999999999994714E-2</v>
      </c>
      <c r="D73" s="42">
        <f t="shared" si="23"/>
        <v>1.6000000000005343E-2</v>
      </c>
      <c r="E73" s="42">
        <f t="shared" si="23"/>
        <v>4.0000000000013358E-3</v>
      </c>
      <c r="F73" s="42">
        <f t="shared" si="23"/>
        <v>1.5999999999998238E-2</v>
      </c>
      <c r="G73" s="42">
        <f t="shared" si="23"/>
        <v>-2.0000000000003126E-2</v>
      </c>
      <c r="H73" s="42">
        <f t="shared" si="23"/>
        <v>-2.0000000000003126E-2</v>
      </c>
      <c r="I73" s="42">
        <f t="shared" si="23"/>
        <v>-4.7999999999987608E-2</v>
      </c>
      <c r="J73" s="42">
        <f t="shared" si="23"/>
        <v>-4.8000000000001819E-2</v>
      </c>
      <c r="K73" s="42">
        <f t="shared" si="23"/>
        <v>1.5999999999991132E-2</v>
      </c>
      <c r="L73" s="42">
        <f>L71-L67</f>
        <v>3.7959999999999994</v>
      </c>
      <c r="M73" s="42">
        <f t="shared" si="23"/>
        <v>8.0000000000026716E-3</v>
      </c>
      <c r="N73" s="42">
        <f t="shared" si="23"/>
        <v>-3.4999999999996589E-2</v>
      </c>
      <c r="O73" s="42">
        <f t="shared" si="23"/>
        <v>-3.5000000000003695E-2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0.14285714285716722</v>
      </c>
      <c r="C74" s="42">
        <f t="shared" si="23"/>
        <v>0.14285714285711038</v>
      </c>
      <c r="D74" s="42">
        <f t="shared" si="23"/>
        <v>-4.7619047619065213E-2</v>
      </c>
      <c r="E74" s="42">
        <f t="shared" si="23"/>
        <v>-4.7619047619065213E-2</v>
      </c>
      <c r="F74" s="42">
        <f t="shared" si="23"/>
        <v>-4.7619047619065213E-2</v>
      </c>
      <c r="G74" s="42">
        <f t="shared" si="23"/>
        <v>5.9523809523824411E-2</v>
      </c>
      <c r="H74" s="42">
        <f t="shared" si="23"/>
        <v>5.9523809523824411E-2</v>
      </c>
      <c r="I74" s="42">
        <f t="shared" si="23"/>
        <v>0.14285714285711038</v>
      </c>
      <c r="J74" s="42">
        <f t="shared" si="23"/>
        <v>0.14285714285716722</v>
      </c>
      <c r="K74" s="42">
        <f t="shared" si="23"/>
        <v>-4.761904761900837E-2</v>
      </c>
      <c r="L74" s="42">
        <f t="shared" si="23"/>
        <v>-41.714285714285708</v>
      </c>
      <c r="M74" s="42">
        <f t="shared" si="23"/>
        <v>-2.3323615160364852E-2</v>
      </c>
      <c r="N74" s="42">
        <f t="shared" si="23"/>
        <v>0.10204081632653583</v>
      </c>
      <c r="O74" s="42">
        <f t="shared" si="23"/>
        <v>0.10204081632656425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>
        <v>155</v>
      </c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>
        <v>157</v>
      </c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>
        <v>156</v>
      </c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57"/>
  <dimension ref="A1:Y244"/>
  <sheetViews>
    <sheetView topLeftCell="A10" zoomScale="29" zoomScaleNormal="25" workbookViewId="0">
      <selection activeCell="U39" sqref="U39:U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41</v>
      </c>
      <c r="Q11" s="1022"/>
      <c r="R11" s="6"/>
      <c r="S11" s="1" t="s">
        <v>6</v>
      </c>
      <c r="T11" s="95">
        <v>45633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90.7</v>
      </c>
      <c r="C18" s="282">
        <v>91</v>
      </c>
      <c r="D18" s="282">
        <v>90.1</v>
      </c>
      <c r="E18" s="282">
        <v>24</v>
      </c>
      <c r="F18" s="282">
        <v>92</v>
      </c>
      <c r="G18" s="282">
        <v>90.1</v>
      </c>
      <c r="H18" s="284">
        <v>92.3</v>
      </c>
      <c r="I18" s="285">
        <v>96</v>
      </c>
      <c r="J18" s="282">
        <v>94.9</v>
      </c>
      <c r="K18" s="282">
        <v>96.3</v>
      </c>
      <c r="L18" s="282">
        <v>26.7</v>
      </c>
      <c r="M18" s="282">
        <v>95.5</v>
      </c>
      <c r="N18" s="282">
        <v>97.1</v>
      </c>
      <c r="O18" s="282">
        <v>96.3</v>
      </c>
      <c r="P18" s="281">
        <v>96.6</v>
      </c>
      <c r="Q18" s="282">
        <v>97.6</v>
      </c>
      <c r="R18" s="282">
        <v>95.8</v>
      </c>
      <c r="S18" s="282">
        <v>26.4</v>
      </c>
      <c r="T18" s="282">
        <v>97</v>
      </c>
      <c r="U18" s="282">
        <v>95.8</v>
      </c>
      <c r="V18" s="284">
        <v>96.2</v>
      </c>
      <c r="W18" s="595">
        <f t="shared" ref="W18:W24" si="0">SUM(B18:V18)</f>
        <v>1778.3999999999996</v>
      </c>
    </row>
    <row r="19" spans="1:25" ht="39.950000000000003" customHeight="1" x14ac:dyDescent="0.25">
      <c r="A19" s="146" t="s">
        <v>24</v>
      </c>
      <c r="B19" s="281">
        <v>90.7</v>
      </c>
      <c r="C19" s="282">
        <v>91</v>
      </c>
      <c r="D19" s="282">
        <v>90.1</v>
      </c>
      <c r="E19" s="282">
        <v>24</v>
      </c>
      <c r="F19" s="282">
        <v>92</v>
      </c>
      <c r="G19" s="282">
        <v>90.1</v>
      </c>
      <c r="H19" s="284">
        <v>92.3</v>
      </c>
      <c r="I19" s="285">
        <v>96</v>
      </c>
      <c r="J19" s="282">
        <v>94.9</v>
      </c>
      <c r="K19" s="282">
        <v>96.3</v>
      </c>
      <c r="L19" s="282">
        <v>26.7</v>
      </c>
      <c r="M19" s="282">
        <v>95.5</v>
      </c>
      <c r="N19" s="282">
        <v>97.1</v>
      </c>
      <c r="O19" s="282">
        <v>96.3</v>
      </c>
      <c r="P19" s="281">
        <v>96.6</v>
      </c>
      <c r="Q19" s="282">
        <v>97.4</v>
      </c>
      <c r="R19" s="282">
        <v>95.8</v>
      </c>
      <c r="S19" s="282">
        <v>26</v>
      </c>
      <c r="T19" s="282">
        <v>96.9</v>
      </c>
      <c r="U19" s="282">
        <v>95.8</v>
      </c>
      <c r="V19" s="284">
        <v>96.1</v>
      </c>
      <c r="W19" s="98">
        <f>SUM(B19:V19)</f>
        <v>1777.5999999999997</v>
      </c>
    </row>
    <row r="20" spans="1:25" ht="39.75" customHeight="1" x14ac:dyDescent="0.25">
      <c r="A20" s="146" t="s">
        <v>20</v>
      </c>
      <c r="B20" s="281">
        <v>90.7</v>
      </c>
      <c r="C20" s="282">
        <v>91</v>
      </c>
      <c r="D20" s="282">
        <v>90.1</v>
      </c>
      <c r="E20" s="282">
        <v>24</v>
      </c>
      <c r="F20" s="282">
        <v>92</v>
      </c>
      <c r="G20" s="282">
        <v>90.1</v>
      </c>
      <c r="H20" s="284">
        <v>92.3</v>
      </c>
      <c r="I20" s="285">
        <v>96</v>
      </c>
      <c r="J20" s="282">
        <v>94.9</v>
      </c>
      <c r="K20" s="282">
        <v>96.3</v>
      </c>
      <c r="L20" s="282">
        <v>26.7</v>
      </c>
      <c r="M20" s="282">
        <v>95.5</v>
      </c>
      <c r="N20" s="282">
        <v>97.1</v>
      </c>
      <c r="O20" s="282">
        <v>96.3</v>
      </c>
      <c r="P20" s="281">
        <v>96.6</v>
      </c>
      <c r="Q20" s="282">
        <v>97.4</v>
      </c>
      <c r="R20" s="282">
        <v>95.8</v>
      </c>
      <c r="S20" s="282">
        <v>26</v>
      </c>
      <c r="T20" s="282">
        <v>96.9</v>
      </c>
      <c r="U20" s="282">
        <v>95.8</v>
      </c>
      <c r="V20" s="284">
        <v>96.1</v>
      </c>
      <c r="W20" s="98">
        <f t="shared" si="0"/>
        <v>1777.5999999999997</v>
      </c>
    </row>
    <row r="21" spans="1:25" ht="39.950000000000003" customHeight="1" x14ac:dyDescent="0.25">
      <c r="A21" s="146" t="s">
        <v>28</v>
      </c>
      <c r="B21" s="281">
        <v>90.7</v>
      </c>
      <c r="C21" s="282">
        <v>90.8</v>
      </c>
      <c r="D21" s="282">
        <v>89.8</v>
      </c>
      <c r="E21" s="282">
        <v>23.7</v>
      </c>
      <c r="F21" s="282">
        <v>92</v>
      </c>
      <c r="G21" s="282">
        <v>90</v>
      </c>
      <c r="H21" s="284">
        <v>92.3</v>
      </c>
      <c r="I21" s="285">
        <v>96</v>
      </c>
      <c r="J21" s="282">
        <v>94.8</v>
      </c>
      <c r="K21" s="282">
        <v>96.3</v>
      </c>
      <c r="L21" s="282">
        <v>26.7</v>
      </c>
      <c r="M21" s="282">
        <v>95.5</v>
      </c>
      <c r="N21" s="282">
        <v>96.7</v>
      </c>
      <c r="O21" s="282">
        <v>96.3</v>
      </c>
      <c r="P21" s="281">
        <v>96.1</v>
      </c>
      <c r="Q21" s="282">
        <v>97.4</v>
      </c>
      <c r="R21" s="282">
        <v>95.8</v>
      </c>
      <c r="S21" s="282">
        <v>25.1</v>
      </c>
      <c r="T21" s="282">
        <v>96.9</v>
      </c>
      <c r="U21" s="282">
        <v>95.6</v>
      </c>
      <c r="V21" s="284">
        <v>96.1</v>
      </c>
      <c r="W21" s="98">
        <f t="shared" si="0"/>
        <v>1774.5999999999997</v>
      </c>
    </row>
    <row r="22" spans="1:25" ht="39.950000000000003" customHeight="1" x14ac:dyDescent="0.25">
      <c r="A22" s="146" t="s">
        <v>21</v>
      </c>
      <c r="B22" s="281">
        <v>90.7</v>
      </c>
      <c r="C22" s="282">
        <v>90.7</v>
      </c>
      <c r="D22" s="282">
        <v>89.7</v>
      </c>
      <c r="E22" s="282">
        <v>23.6</v>
      </c>
      <c r="F22" s="282">
        <v>91.9</v>
      </c>
      <c r="G22" s="282">
        <v>90</v>
      </c>
      <c r="H22" s="284">
        <v>92.3</v>
      </c>
      <c r="I22" s="285">
        <v>95.9</v>
      </c>
      <c r="J22" s="282">
        <v>94.8</v>
      </c>
      <c r="K22" s="282">
        <v>96.3</v>
      </c>
      <c r="L22" s="282">
        <v>26.6</v>
      </c>
      <c r="M22" s="282">
        <v>95.5</v>
      </c>
      <c r="N22" s="282">
        <v>96.8</v>
      </c>
      <c r="O22" s="282">
        <v>96.3</v>
      </c>
      <c r="P22" s="281">
        <v>96</v>
      </c>
      <c r="Q22" s="282">
        <v>97.3</v>
      </c>
      <c r="R22" s="282">
        <v>95.8</v>
      </c>
      <c r="S22" s="282">
        <v>25.1</v>
      </c>
      <c r="T22" s="282">
        <v>96.9</v>
      </c>
      <c r="U22" s="282">
        <v>95.5</v>
      </c>
      <c r="V22" s="284">
        <v>96.1</v>
      </c>
      <c r="W22" s="98">
        <f t="shared" si="0"/>
        <v>1773.7999999999997</v>
      </c>
    </row>
    <row r="23" spans="1:25" ht="39.950000000000003" customHeight="1" x14ac:dyDescent="0.25">
      <c r="A23" s="146" t="s">
        <v>22</v>
      </c>
      <c r="B23" s="281">
        <v>90.7</v>
      </c>
      <c r="C23" s="282">
        <v>90.7</v>
      </c>
      <c r="D23" s="282">
        <v>89.7</v>
      </c>
      <c r="E23" s="282">
        <v>23.6</v>
      </c>
      <c r="F23" s="282">
        <v>91.9</v>
      </c>
      <c r="G23" s="282">
        <v>90</v>
      </c>
      <c r="H23" s="284">
        <v>92.3</v>
      </c>
      <c r="I23" s="285">
        <v>95.9</v>
      </c>
      <c r="J23" s="282">
        <v>94.8</v>
      </c>
      <c r="K23" s="282">
        <v>96.2</v>
      </c>
      <c r="L23" s="282">
        <v>26.6</v>
      </c>
      <c r="M23" s="282">
        <v>95.4</v>
      </c>
      <c r="N23" s="282">
        <v>96.8</v>
      </c>
      <c r="O23" s="282">
        <v>96.2</v>
      </c>
      <c r="P23" s="281">
        <v>96</v>
      </c>
      <c r="Q23" s="282">
        <v>97.3</v>
      </c>
      <c r="R23" s="282">
        <v>95.8</v>
      </c>
      <c r="S23" s="282">
        <v>25.1</v>
      </c>
      <c r="T23" s="282">
        <v>96.9</v>
      </c>
      <c r="U23" s="282">
        <v>95.5</v>
      </c>
      <c r="V23" s="284">
        <v>96.1</v>
      </c>
      <c r="W23" s="98">
        <f t="shared" si="0"/>
        <v>1773.4999999999998</v>
      </c>
    </row>
    <row r="24" spans="1:25" ht="39.950000000000003" customHeight="1" thickBot="1" x14ac:dyDescent="0.3">
      <c r="A24" s="146" t="s">
        <v>23</v>
      </c>
      <c r="B24" s="281">
        <v>90.6</v>
      </c>
      <c r="C24" s="282">
        <v>90.7</v>
      </c>
      <c r="D24" s="282">
        <v>89.7</v>
      </c>
      <c r="E24" s="282">
        <v>23.6</v>
      </c>
      <c r="F24" s="282">
        <v>91.9</v>
      </c>
      <c r="G24" s="282">
        <v>90</v>
      </c>
      <c r="H24" s="284">
        <v>92.2</v>
      </c>
      <c r="I24" s="285">
        <v>95.9</v>
      </c>
      <c r="J24" s="282">
        <v>94.8</v>
      </c>
      <c r="K24" s="282">
        <v>96.2</v>
      </c>
      <c r="L24" s="282">
        <v>26.6</v>
      </c>
      <c r="M24" s="282">
        <v>95.4</v>
      </c>
      <c r="N24" s="282">
        <v>96.8</v>
      </c>
      <c r="O24" s="282">
        <v>96.2</v>
      </c>
      <c r="P24" s="281">
        <v>96</v>
      </c>
      <c r="Q24" s="282">
        <v>97.3</v>
      </c>
      <c r="R24" s="282">
        <v>95.8</v>
      </c>
      <c r="S24" s="282">
        <v>25.1</v>
      </c>
      <c r="T24" s="282">
        <v>96.9</v>
      </c>
      <c r="U24" s="282">
        <v>95.5</v>
      </c>
      <c r="V24" s="284">
        <v>96.1</v>
      </c>
      <c r="W24" s="98">
        <f t="shared" si="0"/>
        <v>1773.3</v>
      </c>
    </row>
    <row r="25" spans="1:25" ht="41.45" customHeight="1" x14ac:dyDescent="0.25">
      <c r="A25" s="182" t="s">
        <v>9</v>
      </c>
      <c r="B25" s="122">
        <f>SUM(B18:B24)</f>
        <v>634.80000000000007</v>
      </c>
      <c r="C25" s="120">
        <f>SUM(C18:C24)</f>
        <v>635.90000000000009</v>
      </c>
      <c r="D25" s="120">
        <f t="shared" ref="D25:V25" si="1">SUM(D18:D24)</f>
        <v>629.20000000000005</v>
      </c>
      <c r="E25" s="120">
        <f>SUM(E18:E24)</f>
        <v>166.5</v>
      </c>
      <c r="F25" s="120">
        <f t="shared" si="1"/>
        <v>643.69999999999993</v>
      </c>
      <c r="G25" s="120">
        <f t="shared" si="1"/>
        <v>630.29999999999995</v>
      </c>
      <c r="H25" s="121">
        <f t="shared" si="1"/>
        <v>646</v>
      </c>
      <c r="I25" s="122">
        <f t="shared" si="1"/>
        <v>671.69999999999993</v>
      </c>
      <c r="J25" s="120">
        <f t="shared" si="1"/>
        <v>663.9</v>
      </c>
      <c r="K25" s="120">
        <f t="shared" si="1"/>
        <v>673.90000000000009</v>
      </c>
      <c r="L25" s="120">
        <f t="shared" si="1"/>
        <v>186.6</v>
      </c>
      <c r="M25" s="120">
        <f t="shared" si="1"/>
        <v>668.3</v>
      </c>
      <c r="N25" s="120">
        <f t="shared" si="1"/>
        <v>678.39999999999986</v>
      </c>
      <c r="O25" s="121">
        <f t="shared" si="1"/>
        <v>673.90000000000009</v>
      </c>
      <c r="P25" s="122">
        <f t="shared" si="1"/>
        <v>673.9</v>
      </c>
      <c r="Q25" s="120">
        <f t="shared" si="1"/>
        <v>681.69999999999993</v>
      </c>
      <c r="R25" s="120">
        <f t="shared" si="1"/>
        <v>670.59999999999991</v>
      </c>
      <c r="S25" s="120">
        <f>SUM(S18:S24)</f>
        <v>178.79999999999998</v>
      </c>
      <c r="T25" s="120">
        <f t="shared" si="1"/>
        <v>678.4</v>
      </c>
      <c r="U25" s="120">
        <f t="shared" si="1"/>
        <v>669.5</v>
      </c>
      <c r="V25" s="121">
        <f t="shared" si="1"/>
        <v>672.80000000000007</v>
      </c>
      <c r="W25" s="361">
        <f>SUM(W18:W24)</f>
        <v>12428.799999999997</v>
      </c>
    </row>
    <row r="26" spans="1:25" s="2" customFormat="1" ht="36.75" customHeight="1" x14ac:dyDescent="0.25">
      <c r="A26" s="148" t="s">
        <v>11</v>
      </c>
      <c r="B26" s="487">
        <v>159.65999999999991</v>
      </c>
      <c r="C26" s="487">
        <v>159.65999999999991</v>
      </c>
      <c r="D26" s="487">
        <v>159.65999999999991</v>
      </c>
      <c r="E26" s="487">
        <v>159.65999999999991</v>
      </c>
      <c r="F26" s="487">
        <v>159.65999999999991</v>
      </c>
      <c r="G26" s="487">
        <v>159.65999999999991</v>
      </c>
      <c r="H26" s="487">
        <v>159.65999999999991</v>
      </c>
      <c r="I26" s="487">
        <v>159.65999999999991</v>
      </c>
      <c r="J26" s="487">
        <v>159.65999999999991</v>
      </c>
      <c r="K26" s="487">
        <v>159.65999999999991</v>
      </c>
      <c r="L26" s="487">
        <v>159.65999999999991</v>
      </c>
      <c r="M26" s="487">
        <v>159.65999999999991</v>
      </c>
      <c r="N26" s="487">
        <v>159.65999999999991</v>
      </c>
      <c r="O26" s="487">
        <v>159.65999999999991</v>
      </c>
      <c r="P26" s="487">
        <v>159.65999999999991</v>
      </c>
      <c r="Q26" s="487">
        <v>159.65999999999991</v>
      </c>
      <c r="R26" s="487">
        <v>159.65999999999991</v>
      </c>
      <c r="S26" s="487">
        <v>159.65999999999991</v>
      </c>
      <c r="T26" s="487">
        <v>159.65999999999991</v>
      </c>
      <c r="U26" s="487">
        <v>159.65999999999991</v>
      </c>
      <c r="V26" s="487">
        <v>159.65999999999991</v>
      </c>
      <c r="W26" s="99">
        <f>((W25/W27)/7)*1000</f>
        <v>159.98764256107916</v>
      </c>
    </row>
    <row r="27" spans="1:25" s="2" customFormat="1" ht="33" customHeight="1" x14ac:dyDescent="0.25">
      <c r="A27" s="149" t="s">
        <v>12</v>
      </c>
      <c r="B27" s="26">
        <v>568</v>
      </c>
      <c r="C27" s="27">
        <v>569</v>
      </c>
      <c r="D27" s="27">
        <v>563</v>
      </c>
      <c r="E27" s="27">
        <v>148</v>
      </c>
      <c r="F27" s="27">
        <v>574</v>
      </c>
      <c r="G27" s="27">
        <v>560</v>
      </c>
      <c r="H27" s="28">
        <v>577</v>
      </c>
      <c r="I27" s="26">
        <v>600</v>
      </c>
      <c r="J27" s="27">
        <v>593</v>
      </c>
      <c r="K27" s="27">
        <v>603</v>
      </c>
      <c r="L27" s="27">
        <v>165</v>
      </c>
      <c r="M27" s="27">
        <v>598</v>
      </c>
      <c r="N27" s="27">
        <v>606</v>
      </c>
      <c r="O27" s="28">
        <v>603</v>
      </c>
      <c r="P27" s="26">
        <v>603</v>
      </c>
      <c r="Q27" s="27">
        <v>610</v>
      </c>
      <c r="R27" s="27">
        <v>598</v>
      </c>
      <c r="S27" s="27">
        <v>154</v>
      </c>
      <c r="T27" s="27">
        <v>607</v>
      </c>
      <c r="U27" s="27">
        <v>599</v>
      </c>
      <c r="V27" s="28">
        <v>600</v>
      </c>
      <c r="W27" s="29">
        <f>SUM(B27:V27)</f>
        <v>11098</v>
      </c>
    </row>
    <row r="28" spans="1:25" s="2" customFormat="1" ht="33" customHeight="1" x14ac:dyDescent="0.25">
      <c r="A28" s="150" t="s">
        <v>13</v>
      </c>
      <c r="B28" s="30">
        <f>(((((B26*7)*B27)/1000))/7)</f>
        <v>90.68687999999996</v>
      </c>
      <c r="C28" s="30">
        <f t="shared" ref="C28:V28" si="2">(((((C26*7)*C27)/1000))/7)</f>
        <v>90.846539999999962</v>
      </c>
      <c r="D28" s="30">
        <f t="shared" si="2"/>
        <v>89.888579999999962</v>
      </c>
      <c r="E28" s="30">
        <f t="shared" si="2"/>
        <v>23.629679999999986</v>
      </c>
      <c r="F28" s="30">
        <f t="shared" si="2"/>
        <v>91.644839999999945</v>
      </c>
      <c r="G28" s="30">
        <f t="shared" si="2"/>
        <v>89.409599999999955</v>
      </c>
      <c r="H28" s="30">
        <f t="shared" si="2"/>
        <v>92.123819999999938</v>
      </c>
      <c r="I28" s="30">
        <f t="shared" si="2"/>
        <v>95.79599999999995</v>
      </c>
      <c r="J28" s="30">
        <f t="shared" si="2"/>
        <v>94.678379999999947</v>
      </c>
      <c r="K28" s="30">
        <f t="shared" si="2"/>
        <v>96.274979999999942</v>
      </c>
      <c r="L28" s="30">
        <f t="shared" si="2"/>
        <v>26.343899999999987</v>
      </c>
      <c r="M28" s="30">
        <f t="shared" si="2"/>
        <v>95.476679999999959</v>
      </c>
      <c r="N28" s="30">
        <f t="shared" si="2"/>
        <v>96.753959999999935</v>
      </c>
      <c r="O28" s="30">
        <f t="shared" si="2"/>
        <v>96.274979999999942</v>
      </c>
      <c r="P28" s="30">
        <f t="shared" si="2"/>
        <v>96.274979999999942</v>
      </c>
      <c r="Q28" s="30">
        <f t="shared" si="2"/>
        <v>97.392599999999945</v>
      </c>
      <c r="R28" s="30">
        <f t="shared" si="2"/>
        <v>95.476679999999959</v>
      </c>
      <c r="S28" s="30">
        <f t="shared" si="2"/>
        <v>24.58763999999999</v>
      </c>
      <c r="T28" s="30">
        <f t="shared" si="2"/>
        <v>96.913619999999938</v>
      </c>
      <c r="U28" s="30">
        <f t="shared" si="2"/>
        <v>95.636339999999947</v>
      </c>
      <c r="V28" s="30">
        <f t="shared" si="2"/>
        <v>95.79599999999995</v>
      </c>
      <c r="W28" s="362">
        <f>((W25*1000)/7)/W27</f>
        <v>159.98764256107918</v>
      </c>
    </row>
    <row r="29" spans="1:25" ht="33.75" customHeight="1" x14ac:dyDescent="0.25">
      <c r="A29" s="151" t="s">
        <v>14</v>
      </c>
      <c r="B29" s="281">
        <f>((B27*B26)*7)/1000</f>
        <v>634.8081599999997</v>
      </c>
      <c r="C29" s="282">
        <f>((C27*C26)*7)/1000</f>
        <v>635.92577999999969</v>
      </c>
      <c r="D29" s="282">
        <f t="shared" ref="D29:V29" si="3">((D27*D26)*7)/1000</f>
        <v>629.22005999999953</v>
      </c>
      <c r="E29" s="282">
        <f t="shared" si="3"/>
        <v>165.40775999999988</v>
      </c>
      <c r="F29" s="282">
        <f t="shared" si="3"/>
        <v>641.51387999999963</v>
      </c>
      <c r="G29" s="282">
        <f t="shared" si="3"/>
        <v>625.86719999999957</v>
      </c>
      <c r="H29" s="284">
        <f t="shared" si="3"/>
        <v>644.8667399999996</v>
      </c>
      <c r="I29" s="281">
        <f t="shared" si="3"/>
        <v>670.57199999999955</v>
      </c>
      <c r="J29" s="282">
        <f t="shared" si="3"/>
        <v>662.74865999999963</v>
      </c>
      <c r="K29" s="282">
        <f t="shared" si="3"/>
        <v>673.92485999999963</v>
      </c>
      <c r="L29" s="282">
        <f t="shared" si="3"/>
        <v>184.40729999999991</v>
      </c>
      <c r="M29" s="282">
        <f t="shared" si="3"/>
        <v>668.33675999999969</v>
      </c>
      <c r="N29" s="282">
        <f t="shared" si="3"/>
        <v>677.27771999999959</v>
      </c>
      <c r="O29" s="284">
        <f t="shared" si="3"/>
        <v>673.92485999999963</v>
      </c>
      <c r="P29" s="281">
        <f t="shared" si="3"/>
        <v>673.92485999999963</v>
      </c>
      <c r="Q29" s="282">
        <f t="shared" si="3"/>
        <v>681.74819999999966</v>
      </c>
      <c r="R29" s="282">
        <f t="shared" si="3"/>
        <v>668.33675999999969</v>
      </c>
      <c r="S29" s="282">
        <f t="shared" si="3"/>
        <v>172.1134799999999</v>
      </c>
      <c r="T29" s="282">
        <f t="shared" si="3"/>
        <v>678.39533999999958</v>
      </c>
      <c r="U29" s="282">
        <f t="shared" si="3"/>
        <v>669.45437999999967</v>
      </c>
      <c r="V29" s="284">
        <f t="shared" si="3"/>
        <v>670.57199999999955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159.6579476861167</v>
      </c>
      <c r="C30" s="38">
        <f t="shared" ref="C30:V30" si="4">+(C25/C27)/7*1000</f>
        <v>159.65352749184032</v>
      </c>
      <c r="D30" s="38">
        <f t="shared" si="4"/>
        <v>159.65490992133977</v>
      </c>
      <c r="E30" s="38">
        <f t="shared" si="4"/>
        <v>160.71428571428572</v>
      </c>
      <c r="F30" s="38">
        <f t="shared" si="4"/>
        <v>160.20408163265304</v>
      </c>
      <c r="G30" s="38">
        <f t="shared" si="4"/>
        <v>160.7908163265306</v>
      </c>
      <c r="H30" s="39">
        <f t="shared" si="4"/>
        <v>159.9405793513246</v>
      </c>
      <c r="I30" s="37">
        <f t="shared" si="4"/>
        <v>159.92857142857142</v>
      </c>
      <c r="J30" s="38">
        <f t="shared" si="4"/>
        <v>159.93736449048421</v>
      </c>
      <c r="K30" s="38">
        <f t="shared" si="4"/>
        <v>159.65411040037907</v>
      </c>
      <c r="L30" s="38">
        <f t="shared" si="4"/>
        <v>161.55844155844153</v>
      </c>
      <c r="M30" s="38">
        <f t="shared" si="4"/>
        <v>159.65121834687051</v>
      </c>
      <c r="N30" s="38">
        <f t="shared" si="4"/>
        <v>159.92456388495987</v>
      </c>
      <c r="O30" s="39">
        <f t="shared" si="4"/>
        <v>159.65411040037907</v>
      </c>
      <c r="P30" s="37">
        <f t="shared" si="4"/>
        <v>159.65411040037904</v>
      </c>
      <c r="Q30" s="38">
        <f t="shared" si="4"/>
        <v>159.6487119437939</v>
      </c>
      <c r="R30" s="38">
        <f t="shared" si="4"/>
        <v>160.20066889632108</v>
      </c>
      <c r="S30" s="38">
        <f t="shared" si="4"/>
        <v>165.86270871985155</v>
      </c>
      <c r="T30" s="38">
        <f t="shared" si="4"/>
        <v>159.66109672864204</v>
      </c>
      <c r="U30" s="38">
        <f t="shared" si="4"/>
        <v>159.67088003815883</v>
      </c>
      <c r="V30" s="39">
        <f t="shared" si="4"/>
        <v>160.1904761904762</v>
      </c>
      <c r="W30" s="40"/>
    </row>
    <row r="31" spans="1:25" ht="33.75" customHeight="1" x14ac:dyDescent="0.25">
      <c r="A31" s="41"/>
      <c r="B31" s="42">
        <f>B29-B25</f>
        <v>8.1599999996342376E-3</v>
      </c>
      <c r="C31" s="42">
        <f t="shared" ref="C31:V32" si="5">C29-C25</f>
        <v>2.5779999999599568E-2</v>
      </c>
      <c r="D31" s="42">
        <f t="shared" si="5"/>
        <v>2.0059999999489264E-2</v>
      </c>
      <c r="E31" s="42">
        <f t="shared" si="5"/>
        <v>-1.0922400000001176</v>
      </c>
      <c r="F31" s="42">
        <f t="shared" si="5"/>
        <v>-2.1861200000003009</v>
      </c>
      <c r="G31" s="42">
        <f t="shared" si="5"/>
        <v>-4.432800000000384</v>
      </c>
      <c r="H31" s="42">
        <f t="shared" si="5"/>
        <v>-1.1332600000004049</v>
      </c>
      <c r="I31" s="42">
        <f t="shared" si="5"/>
        <v>-1.1280000000003838</v>
      </c>
      <c r="J31" s="42">
        <f t="shared" si="5"/>
        <v>-1.1513400000003458</v>
      </c>
      <c r="K31" s="42">
        <f t="shared" si="5"/>
        <v>2.4859999999534921E-2</v>
      </c>
      <c r="L31" s="42">
        <f t="shared" si="5"/>
        <v>-2.1927000000000874</v>
      </c>
      <c r="M31" s="42">
        <f t="shared" si="5"/>
        <v>3.6759999999731008E-2</v>
      </c>
      <c r="N31" s="42">
        <f t="shared" si="5"/>
        <v>-1.1222800000002735</v>
      </c>
      <c r="O31" s="42">
        <f t="shared" si="5"/>
        <v>2.4859999999534921E-2</v>
      </c>
      <c r="P31" s="42">
        <f t="shared" si="5"/>
        <v>2.4859999999648608E-2</v>
      </c>
      <c r="Q31" s="42">
        <f t="shared" si="5"/>
        <v>4.8199999999724241E-2</v>
      </c>
      <c r="R31" s="42">
        <f t="shared" si="5"/>
        <v>-2.2632400000002235</v>
      </c>
      <c r="S31" s="42">
        <f t="shared" si="5"/>
        <v>-6.6865200000000868</v>
      </c>
      <c r="T31" s="42">
        <f t="shared" si="5"/>
        <v>-4.6600000003991227E-3</v>
      </c>
      <c r="U31" s="42">
        <f t="shared" si="5"/>
        <v>-4.5620000000326399E-2</v>
      </c>
      <c r="V31" s="42">
        <f t="shared" si="5"/>
        <v>-2.2280000000005202</v>
      </c>
      <c r="W31" s="42"/>
      <c r="X31" s="42"/>
    </row>
    <row r="32" spans="1:25" ht="33.75" customHeight="1" x14ac:dyDescent="0.25">
      <c r="A32" s="41"/>
      <c r="B32" s="42">
        <f>B30-B26</f>
        <v>-2.0523138832118093E-3</v>
      </c>
      <c r="C32" s="42">
        <f t="shared" si="5"/>
        <v>-6.4725081595895517E-3</v>
      </c>
      <c r="D32" s="42">
        <f t="shared" si="5"/>
        <v>-5.0900786601459913E-3</v>
      </c>
      <c r="E32" s="42">
        <f t="shared" si="5"/>
        <v>1.0542857142858111</v>
      </c>
      <c r="F32" s="42">
        <f t="shared" si="5"/>
        <v>0.54408163265313192</v>
      </c>
      <c r="G32" s="42">
        <f t="shared" si="5"/>
        <v>1.1308163265306916</v>
      </c>
      <c r="H32" s="42">
        <f t="shared" si="5"/>
        <v>0.2805793513246897</v>
      </c>
      <c r="I32" s="42">
        <f t="shared" si="5"/>
        <v>0.26857142857150507</v>
      </c>
      <c r="J32" s="42">
        <f t="shared" si="5"/>
        <v>0.27736449048430245</v>
      </c>
      <c r="K32" s="42">
        <f t="shared" si="5"/>
        <v>-5.8895996208434553E-3</v>
      </c>
      <c r="L32" s="42">
        <f t="shared" si="5"/>
        <v>1.8984415584416183</v>
      </c>
      <c r="M32" s="42">
        <f t="shared" si="5"/>
        <v>-8.7816531294038214E-3</v>
      </c>
      <c r="N32" s="42">
        <f t="shared" si="5"/>
        <v>0.26456388495995498</v>
      </c>
      <c r="O32" s="42">
        <f t="shared" si="5"/>
        <v>-5.8895996208434553E-3</v>
      </c>
      <c r="P32" s="42">
        <f t="shared" si="5"/>
        <v>-5.8895996208718771E-3</v>
      </c>
      <c r="Q32" s="42">
        <f>Q30-Q26</f>
        <v>-1.1288056206012698E-2</v>
      </c>
      <c r="R32" s="42">
        <f t="shared" si="5"/>
        <v>0.54066889632116499</v>
      </c>
      <c r="S32" s="42">
        <f t="shared" si="5"/>
        <v>6.2027087198516426</v>
      </c>
      <c r="T32" s="42">
        <f t="shared" si="5"/>
        <v>1.0967286421248446E-3</v>
      </c>
      <c r="U32" s="42">
        <f t="shared" si="5"/>
        <v>1.088003815891625E-2</v>
      </c>
      <c r="V32" s="42">
        <f t="shared" si="5"/>
        <v>0.53047619047629269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87.2</v>
      </c>
      <c r="C39" s="282">
        <v>87.3</v>
      </c>
      <c r="D39" s="282">
        <v>19</v>
      </c>
      <c r="E39" s="282">
        <v>90.2</v>
      </c>
      <c r="F39" s="282">
        <v>89.5</v>
      </c>
      <c r="G39" s="284">
        <v>90.6</v>
      </c>
      <c r="H39" s="326">
        <f t="shared" ref="H39:H46" si="6">SUM(B39:G39)</f>
        <v>463.79999999999995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6.5</v>
      </c>
      <c r="Q39" s="282">
        <v>1.5</v>
      </c>
      <c r="R39" s="282">
        <v>6.9</v>
      </c>
      <c r="S39" s="282">
        <v>6.8</v>
      </c>
      <c r="T39" s="282">
        <v>6.9</v>
      </c>
      <c r="U39" s="326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87.2</v>
      </c>
      <c r="C40" s="282">
        <v>87.1</v>
      </c>
      <c r="D40" s="282">
        <v>19</v>
      </c>
      <c r="E40" s="282">
        <v>90.1</v>
      </c>
      <c r="F40" s="282">
        <v>89.5</v>
      </c>
      <c r="G40" s="284">
        <v>90.6</v>
      </c>
      <c r="H40" s="264">
        <f t="shared" si="6"/>
        <v>463.5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6.5</v>
      </c>
      <c r="Q40" s="282">
        <v>1.5</v>
      </c>
      <c r="R40" s="282">
        <v>6.9</v>
      </c>
      <c r="S40" s="282">
        <v>6.8</v>
      </c>
      <c r="T40" s="282">
        <v>6.9</v>
      </c>
      <c r="U40" s="264">
        <f t="shared" si="7"/>
        <v>35.1</v>
      </c>
      <c r="V40" s="49"/>
      <c r="W40" s="48"/>
    </row>
    <row r="41" spans="1:25" ht="33.75" customHeight="1" x14ac:dyDescent="0.25">
      <c r="A41" s="146" t="s">
        <v>20</v>
      </c>
      <c r="B41" s="281">
        <v>87.1</v>
      </c>
      <c r="C41" s="282">
        <v>87.1</v>
      </c>
      <c r="D41" s="282">
        <v>19</v>
      </c>
      <c r="E41" s="282">
        <v>90.1</v>
      </c>
      <c r="F41" s="282">
        <v>89.5</v>
      </c>
      <c r="G41" s="284">
        <v>90.6</v>
      </c>
      <c r="H41" s="264">
        <f t="shared" si="6"/>
        <v>463.4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6.7</v>
      </c>
      <c r="Q41" s="282">
        <v>1.5</v>
      </c>
      <c r="R41" s="282">
        <v>6.9</v>
      </c>
      <c r="S41" s="282">
        <v>6.6</v>
      </c>
      <c r="T41" s="282">
        <v>6.6</v>
      </c>
      <c r="U41" s="264">
        <f t="shared" si="7"/>
        <v>34.800000000000004</v>
      </c>
      <c r="V41" s="49"/>
      <c r="W41" s="48"/>
    </row>
    <row r="42" spans="1:25" ht="33.75" customHeight="1" x14ac:dyDescent="0.25">
      <c r="A42" s="146" t="s">
        <v>28</v>
      </c>
      <c r="B42" s="281">
        <v>87.1</v>
      </c>
      <c r="C42" s="282">
        <v>86.8</v>
      </c>
      <c r="D42" s="282">
        <v>18.5</v>
      </c>
      <c r="E42" s="282">
        <v>90.1</v>
      </c>
      <c r="F42" s="282">
        <v>89.2</v>
      </c>
      <c r="G42" s="284">
        <v>90.6</v>
      </c>
      <c r="H42" s="264">
        <f t="shared" si="6"/>
        <v>462.29999999999995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6.4</v>
      </c>
      <c r="Q42" s="282">
        <v>1.5</v>
      </c>
      <c r="R42" s="282">
        <v>6.9</v>
      </c>
      <c r="S42" s="282">
        <v>6.8</v>
      </c>
      <c r="T42" s="282">
        <v>7.1</v>
      </c>
      <c r="U42" s="264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87.1</v>
      </c>
      <c r="C43" s="282">
        <v>86.8</v>
      </c>
      <c r="D43" s="282">
        <v>18.5</v>
      </c>
      <c r="E43" s="282">
        <v>90.1</v>
      </c>
      <c r="F43" s="282">
        <v>89.2</v>
      </c>
      <c r="G43" s="284">
        <v>90.6</v>
      </c>
      <c r="H43" s="264">
        <f t="shared" si="6"/>
        <v>462.29999999999995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6.4</v>
      </c>
      <c r="Q43" s="282">
        <v>1.6</v>
      </c>
      <c r="R43" s="282">
        <v>6.9</v>
      </c>
      <c r="S43" s="282">
        <v>6.7</v>
      </c>
      <c r="T43" s="282">
        <v>7.1</v>
      </c>
      <c r="U43" s="264">
        <f t="shared" si="7"/>
        <v>35.1</v>
      </c>
      <c r="V43" s="49"/>
      <c r="W43" s="48"/>
    </row>
    <row r="44" spans="1:25" ht="33.75" customHeight="1" x14ac:dyDescent="0.25">
      <c r="A44" s="146" t="s">
        <v>22</v>
      </c>
      <c r="B44" s="281">
        <v>87.1</v>
      </c>
      <c r="C44" s="282">
        <v>86.8</v>
      </c>
      <c r="D44" s="282">
        <v>18.399999999999999</v>
      </c>
      <c r="E44" s="282">
        <v>90.1</v>
      </c>
      <c r="F44" s="282">
        <v>89.2</v>
      </c>
      <c r="G44" s="284">
        <v>90.6</v>
      </c>
      <c r="H44" s="264">
        <f t="shared" si="6"/>
        <v>462.19999999999993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1.6</v>
      </c>
      <c r="R44" s="282">
        <v>6.9</v>
      </c>
      <c r="S44" s="282">
        <v>6.7</v>
      </c>
      <c r="T44" s="282">
        <v>7.1</v>
      </c>
      <c r="U44" s="264">
        <f t="shared" si="7"/>
        <v>35.1</v>
      </c>
      <c r="V44" s="49"/>
      <c r="W44" s="48"/>
    </row>
    <row r="45" spans="1:25" ht="33.75" customHeight="1" thickBot="1" x14ac:dyDescent="0.3">
      <c r="A45" s="146" t="s">
        <v>23</v>
      </c>
      <c r="B45" s="281">
        <v>87.1</v>
      </c>
      <c r="C45" s="282">
        <v>86.9</v>
      </c>
      <c r="D45" s="282">
        <v>18.399999999999999</v>
      </c>
      <c r="E45" s="282">
        <v>90.1</v>
      </c>
      <c r="F45" s="282">
        <v>89.2</v>
      </c>
      <c r="G45" s="284">
        <v>90.5</v>
      </c>
      <c r="H45" s="265">
        <f t="shared" si="6"/>
        <v>462.2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1.6</v>
      </c>
      <c r="R45" s="282">
        <v>6.8</v>
      </c>
      <c r="S45" s="282">
        <v>6.7</v>
      </c>
      <c r="T45" s="282">
        <v>7</v>
      </c>
      <c r="U45" s="264">
        <f t="shared" si="7"/>
        <v>34.799999999999997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609.90000000000009</v>
      </c>
      <c r="C46" s="120">
        <f t="shared" si="8"/>
        <v>608.79999999999995</v>
      </c>
      <c r="D46" s="120">
        <f t="shared" si="8"/>
        <v>130.80000000000001</v>
      </c>
      <c r="E46" s="120">
        <f t="shared" si="8"/>
        <v>630.80000000000007</v>
      </c>
      <c r="F46" s="120">
        <f t="shared" si="8"/>
        <v>625.30000000000007</v>
      </c>
      <c r="G46" s="121">
        <f t="shared" si="8"/>
        <v>634.1</v>
      </c>
      <c r="H46" s="560">
        <f t="shared" si="6"/>
        <v>3239.7000000000003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45.199999999999996</v>
      </c>
      <c r="Q46" s="120">
        <f t="shared" si="9"/>
        <v>10.799999999999999</v>
      </c>
      <c r="R46" s="120">
        <f t="shared" si="9"/>
        <v>48.199999999999996</v>
      </c>
      <c r="S46" s="120">
        <f t="shared" si="9"/>
        <v>47.100000000000009</v>
      </c>
      <c r="T46" s="120">
        <f t="shared" si="9"/>
        <v>48.7</v>
      </c>
      <c r="U46" s="326">
        <f>SUM(O46:T46)</f>
        <v>245.2</v>
      </c>
      <c r="V46" s="49"/>
      <c r="W46" s="2"/>
    </row>
    <row r="47" spans="1:25" ht="33.75" customHeight="1" x14ac:dyDescent="0.25">
      <c r="A47" s="148" t="s">
        <v>11</v>
      </c>
      <c r="B47" s="555">
        <v>156.99999999999997</v>
      </c>
      <c r="C47" s="555">
        <v>156.99999999999997</v>
      </c>
      <c r="D47" s="555">
        <v>156.99999999999997</v>
      </c>
      <c r="E47" s="555">
        <v>156.99999999999997</v>
      </c>
      <c r="F47" s="555">
        <v>156.99999999999997</v>
      </c>
      <c r="G47" s="555">
        <v>156.99999999999997</v>
      </c>
      <c r="H47" s="234">
        <f>+((H46/H48)/7)*1000</f>
        <v>157.52698628804822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152.29813664596273</v>
      </c>
      <c r="V47" s="50"/>
    </row>
    <row r="48" spans="1:25" ht="33.75" customHeight="1" x14ac:dyDescent="0.25">
      <c r="A48" s="149" t="s">
        <v>12</v>
      </c>
      <c r="B48" s="26">
        <v>553</v>
      </c>
      <c r="C48" s="27">
        <v>552</v>
      </c>
      <c r="D48" s="27">
        <v>116</v>
      </c>
      <c r="E48" s="27">
        <v>573</v>
      </c>
      <c r="F48" s="27">
        <v>567</v>
      </c>
      <c r="G48" s="28">
        <v>577</v>
      </c>
      <c r="H48" s="256">
        <f>SUM(B48:G48)</f>
        <v>2938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86.820999999999984</v>
      </c>
      <c r="C49" s="30">
        <f t="shared" ref="C49:G49" si="10">(((((C47*7)*C48)/1000)/7))</f>
        <v>86.663999999999987</v>
      </c>
      <c r="D49" s="30">
        <f t="shared" si="10"/>
        <v>18.211999999999996</v>
      </c>
      <c r="E49" s="30">
        <f t="shared" si="10"/>
        <v>89.960999999999984</v>
      </c>
      <c r="F49" s="30">
        <f t="shared" si="10"/>
        <v>89.018999999999991</v>
      </c>
      <c r="G49" s="30">
        <f t="shared" si="10"/>
        <v>90.588999999999984</v>
      </c>
      <c r="H49" s="257">
        <f>((H46*1000)/H48)/7</f>
        <v>157.52698628804825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6.8849999999999998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152.29813664596276</v>
      </c>
      <c r="V49" s="192"/>
    </row>
    <row r="50" spans="1:23" ht="33.75" customHeight="1" x14ac:dyDescent="0.25">
      <c r="A50" s="151" t="s">
        <v>14</v>
      </c>
      <c r="B50" s="281">
        <f>((B48*B47)*7)/1000</f>
        <v>607.74699999999984</v>
      </c>
      <c r="C50" s="282">
        <f t="shared" ref="C50:G50" si="12">((C48*C47)*7)/1000</f>
        <v>606.64799999999991</v>
      </c>
      <c r="D50" s="282">
        <f t="shared" si="12"/>
        <v>127.48399999999997</v>
      </c>
      <c r="E50" s="282">
        <f t="shared" si="12"/>
        <v>629.72699999999986</v>
      </c>
      <c r="F50" s="282">
        <f t="shared" si="12"/>
        <v>623.13299999999992</v>
      </c>
      <c r="G50" s="284">
        <f t="shared" si="12"/>
        <v>634.12299999999993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48.195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157.55618703177475</v>
      </c>
      <c r="C51" s="38">
        <f t="shared" si="14"/>
        <v>157.55693581780537</v>
      </c>
      <c r="D51" s="38">
        <f t="shared" si="14"/>
        <v>161.08374384236453</v>
      </c>
      <c r="E51" s="38">
        <f t="shared" si="14"/>
        <v>157.2675143355772</v>
      </c>
      <c r="F51" s="38">
        <f t="shared" si="14"/>
        <v>157.54598135550518</v>
      </c>
      <c r="G51" s="39">
        <f t="shared" si="14"/>
        <v>156.9943055211686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150.16611295681062</v>
      </c>
      <c r="Q51" s="38">
        <f t="shared" si="15"/>
        <v>154.28571428571428</v>
      </c>
      <c r="R51" s="38">
        <f t="shared" si="15"/>
        <v>153.01587301587301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-2.1530000000002474</v>
      </c>
      <c r="C52" s="42">
        <f t="shared" ref="C52:G53" si="16">C50-C46</f>
        <v>-2.1520000000000437</v>
      </c>
      <c r="D52" s="42">
        <f t="shared" si="16"/>
        <v>-3.3160000000000451</v>
      </c>
      <c r="E52" s="42">
        <f t="shared" si="16"/>
        <v>-1.0730000000002065</v>
      </c>
      <c r="F52" s="42">
        <f t="shared" si="16"/>
        <v>-2.1670000000001437</v>
      </c>
      <c r="G52" s="42">
        <f t="shared" si="16"/>
        <v>2.299999999991087E-2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-4.9999999999997158E-2</v>
      </c>
      <c r="Q52" s="42">
        <f t="shared" si="17"/>
        <v>1.5000000000000568E-2</v>
      </c>
      <c r="R52" s="42">
        <f t="shared" si="17"/>
        <v>-4.9999999999954525E-3</v>
      </c>
      <c r="S52" s="42">
        <f t="shared" si="17"/>
        <v>2.3999999999993804E-2</v>
      </c>
      <c r="T52" s="42">
        <f t="shared" si="17"/>
        <v>-3.2500000000005969E-2</v>
      </c>
    </row>
    <row r="53" spans="1:23" ht="33.75" customHeight="1" x14ac:dyDescent="0.25">
      <c r="A53" s="41"/>
      <c r="B53" s="42">
        <f>B51-B47</f>
        <v>0.55618703177478324</v>
      </c>
      <c r="C53" s="42">
        <f t="shared" si="16"/>
        <v>0.55693581780539603</v>
      </c>
      <c r="D53" s="42">
        <f t="shared" si="16"/>
        <v>4.0837438423645551</v>
      </c>
      <c r="E53" s="42">
        <f t="shared" si="16"/>
        <v>0.26751433557723203</v>
      </c>
      <c r="F53" s="42">
        <f t="shared" si="16"/>
        <v>0.5459813555052051</v>
      </c>
      <c r="G53" s="42">
        <f t="shared" si="16"/>
        <v>-5.6944788313728623E-3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0.16611295681062188</v>
      </c>
      <c r="Q53" s="42">
        <f t="shared" si="17"/>
        <v>-0.21428571428572241</v>
      </c>
      <c r="R53" s="42">
        <f t="shared" si="17"/>
        <v>1.5873015873012264E-2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61"/>
      <c r="C54" s="1061"/>
      <c r="D54" s="106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7.6</v>
      </c>
      <c r="I60" s="281">
        <v>8</v>
      </c>
      <c r="J60" s="561">
        <v>7.6</v>
      </c>
      <c r="K60" s="282">
        <v>8.3000000000000007</v>
      </c>
      <c r="L60" s="561">
        <v>1.2</v>
      </c>
      <c r="M60" s="561">
        <v>8</v>
      </c>
      <c r="N60" s="282">
        <v>7.8</v>
      </c>
      <c r="O60" s="474">
        <v>8.1</v>
      </c>
      <c r="P60" s="586">
        <v>8</v>
      </c>
      <c r="Q60" s="561">
        <v>8</v>
      </c>
      <c r="R60" s="561">
        <v>7.9</v>
      </c>
      <c r="S60" s="561">
        <v>2.1</v>
      </c>
      <c r="T60" s="561">
        <v>7.9</v>
      </c>
      <c r="U60" s="561">
        <v>7.8</v>
      </c>
      <c r="V60" s="474">
        <v>7.8</v>
      </c>
      <c r="W60" s="313">
        <f t="shared" ref="W60:W66" si="18">SUM(B60:V60)</f>
        <v>147.4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8</v>
      </c>
      <c r="R61" s="561">
        <v>7.9</v>
      </c>
      <c r="S61" s="561">
        <v>2.1</v>
      </c>
      <c r="T61" s="561">
        <v>7.9</v>
      </c>
      <c r="U61" s="561">
        <v>7.8</v>
      </c>
      <c r="V61" s="474">
        <v>7.8</v>
      </c>
      <c r="W61" s="264">
        <f t="shared" si="18"/>
        <v>147.4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7.9</v>
      </c>
      <c r="R62" s="561">
        <v>8.1999999999999993</v>
      </c>
      <c r="S62" s="561">
        <v>2.2999999999999998</v>
      </c>
      <c r="T62" s="561">
        <v>7.9</v>
      </c>
      <c r="U62" s="561">
        <v>7.7</v>
      </c>
      <c r="V62" s="474">
        <v>7.7</v>
      </c>
      <c r="W62" s="264">
        <f t="shared" si="18"/>
        <v>147.59999999999997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8.3000000000000007</v>
      </c>
      <c r="R63" s="561">
        <v>8</v>
      </c>
      <c r="S63" s="561">
        <v>2.2999999999999998</v>
      </c>
      <c r="T63" s="561">
        <v>8</v>
      </c>
      <c r="U63" s="561">
        <v>7.7</v>
      </c>
      <c r="V63" s="474">
        <v>7.7</v>
      </c>
      <c r="W63" s="264">
        <f t="shared" si="18"/>
        <v>147.89999999999998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7.9</v>
      </c>
      <c r="S64" s="561">
        <v>2.2000000000000002</v>
      </c>
      <c r="T64" s="561">
        <v>8</v>
      </c>
      <c r="U64" s="561">
        <v>7.7</v>
      </c>
      <c r="V64" s="474">
        <v>7.7</v>
      </c>
      <c r="W64" s="264">
        <f t="shared" si="18"/>
        <v>147.30000000000001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7.9</v>
      </c>
      <c r="S65" s="561">
        <v>2.2000000000000002</v>
      </c>
      <c r="T65" s="561">
        <v>8</v>
      </c>
      <c r="U65" s="561">
        <v>7.7</v>
      </c>
      <c r="V65" s="474">
        <v>7.7</v>
      </c>
      <c r="W65" s="264">
        <f t="shared" si="18"/>
        <v>147.30000000000001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7.6</v>
      </c>
      <c r="I66" s="281">
        <v>8</v>
      </c>
      <c r="J66" s="561">
        <v>7.5</v>
      </c>
      <c r="K66" s="282">
        <v>8.1999999999999993</v>
      </c>
      <c r="L66" s="561">
        <v>1.3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8.1999999999999993</v>
      </c>
      <c r="R66" s="561">
        <v>7.9</v>
      </c>
      <c r="S66" s="561">
        <v>2.1</v>
      </c>
      <c r="T66" s="561">
        <v>8</v>
      </c>
      <c r="U66" s="561">
        <v>7.7</v>
      </c>
      <c r="V66" s="474">
        <v>7.7</v>
      </c>
      <c r="W66" s="265">
        <f t="shared" si="18"/>
        <v>147.19999999999999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56.800000000000011</v>
      </c>
      <c r="R67" s="120">
        <f t="shared" si="19"/>
        <v>55.699999999999996</v>
      </c>
      <c r="S67" s="120">
        <f t="shared" si="19"/>
        <v>15.299999999999999</v>
      </c>
      <c r="T67" s="120">
        <f t="shared" si="19"/>
        <v>55.7</v>
      </c>
      <c r="U67" s="120">
        <f t="shared" si="19"/>
        <v>54.100000000000009</v>
      </c>
      <c r="V67" s="121">
        <f t="shared" si="19"/>
        <v>54.100000000000009</v>
      </c>
      <c r="W67" s="263">
        <f>SUM(W60:W66)</f>
        <v>1032.0999999999999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12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156.52107976948739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156.52107976948739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156.02240896358541</v>
      </c>
      <c r="S72" s="38">
        <f t="shared" si="22"/>
        <v>156.12244897959181</v>
      </c>
      <c r="T72" s="38">
        <f t="shared" si="22"/>
        <v>159.14285714285717</v>
      </c>
      <c r="U72" s="38">
        <f t="shared" si="22"/>
        <v>154.57142857142858</v>
      </c>
      <c r="V72" s="39">
        <f t="shared" si="22"/>
        <v>157.72594752186592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-3.7000000000013245E-2</v>
      </c>
      <c r="R73" s="42">
        <f t="shared" si="23"/>
        <v>-7.9999999999955662E-3</v>
      </c>
      <c r="S73" s="42">
        <f t="shared" si="23"/>
        <v>-1.1999999999998678E-2</v>
      </c>
      <c r="T73" s="42">
        <f t="shared" si="23"/>
        <v>-1.1000000000000014</v>
      </c>
      <c r="U73" s="42">
        <f t="shared" si="23"/>
        <v>-2.5000000000005684E-2</v>
      </c>
      <c r="V73" s="42">
        <f t="shared" si="23"/>
        <v>-1.1065000000000111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2.2408963585405672E-2</v>
      </c>
      <c r="S74" s="42">
        <f t="shared" si="23"/>
        <v>0.12244897959180889</v>
      </c>
      <c r="T74" s="42">
        <f t="shared" si="23"/>
        <v>3.1428571428571672</v>
      </c>
      <c r="U74" s="42">
        <f t="shared" si="23"/>
        <v>7.1428571428583609E-2</v>
      </c>
      <c r="V74" s="42">
        <f t="shared" si="23"/>
        <v>3.225947521865919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3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63">
        <v>158</v>
      </c>
      <c r="R77" s="24">
        <v>157</v>
      </c>
      <c r="S77" s="24">
        <v>157</v>
      </c>
      <c r="T77" s="24">
        <v>158</v>
      </c>
      <c r="U77" s="24">
        <v>155</v>
      </c>
      <c r="V77" s="24">
        <v>155</v>
      </c>
      <c r="W77" s="25">
        <v>153.5</v>
      </c>
    </row>
    <row r="78" spans="1:2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  <c r="Q79" s="63">
        <v>155</v>
      </c>
      <c r="R79" s="24">
        <v>155</v>
      </c>
      <c r="S79" s="520">
        <v>158.5</v>
      </c>
      <c r="T79" s="24">
        <v>157</v>
      </c>
      <c r="U79" s="24">
        <v>157</v>
      </c>
      <c r="V79" s="24">
        <v>158</v>
      </c>
      <c r="W79" s="25">
        <v>158</v>
      </c>
    </row>
    <row r="80" spans="1:2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23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23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  <c r="Q82" s="23">
        <v>158</v>
      </c>
      <c r="R82" s="24">
        <v>157</v>
      </c>
      <c r="S82" s="24">
        <v>157</v>
      </c>
      <c r="T82" s="24">
        <v>158</v>
      </c>
      <c r="U82" s="24">
        <v>155</v>
      </c>
      <c r="V82" s="24">
        <v>155</v>
      </c>
      <c r="W82" s="25">
        <v>153.5</v>
      </c>
    </row>
    <row r="83" spans="1:23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23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23" ht="33.75" customHeight="1" x14ac:dyDescent="0.25"/>
    <row r="86" spans="1:23" ht="33.75" customHeight="1" x14ac:dyDescent="0.25"/>
    <row r="87" spans="1:23" ht="33.75" customHeight="1" x14ac:dyDescent="0.25"/>
    <row r="88" spans="1:23" ht="33.75" customHeight="1" x14ac:dyDescent="0.25"/>
    <row r="89" spans="1:23" ht="33.75" customHeight="1" x14ac:dyDescent="0.25"/>
    <row r="90" spans="1:23" ht="33.75" customHeight="1" x14ac:dyDescent="0.25"/>
    <row r="91" spans="1:23" ht="33.75" customHeight="1" x14ac:dyDescent="0.25"/>
    <row r="92" spans="1:23" ht="33.75" customHeight="1" x14ac:dyDescent="0.25"/>
    <row r="93" spans="1:23" ht="33.75" customHeight="1" x14ac:dyDescent="0.25"/>
    <row r="94" spans="1:23" ht="33.75" customHeight="1" x14ac:dyDescent="0.25"/>
    <row r="95" spans="1:23" ht="33.75" customHeight="1" x14ac:dyDescent="0.25"/>
    <row r="96" spans="1:23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58"/>
  <dimension ref="A1:Y237"/>
  <sheetViews>
    <sheetView topLeftCell="A11" zoomScale="29" zoomScaleNormal="25" workbookViewId="0">
      <selection activeCell="W23" sqref="W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42</v>
      </c>
      <c r="Q11" s="1022"/>
      <c r="R11" s="6"/>
      <c r="S11" s="1" t="s">
        <v>6</v>
      </c>
      <c r="T11" s="95">
        <v>45669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90.3</v>
      </c>
      <c r="C18" s="282">
        <v>90.8</v>
      </c>
      <c r="D18" s="282">
        <v>89.6</v>
      </c>
      <c r="E18" s="282">
        <v>23.7</v>
      </c>
      <c r="F18" s="282">
        <v>91.5</v>
      </c>
      <c r="G18" s="282">
        <v>89.6</v>
      </c>
      <c r="H18" s="284">
        <v>91.8</v>
      </c>
      <c r="I18" s="285">
        <v>95.7</v>
      </c>
      <c r="J18" s="282">
        <v>94.5</v>
      </c>
      <c r="K18" s="282">
        <v>95.8</v>
      </c>
      <c r="L18" s="282">
        <v>26.4</v>
      </c>
      <c r="M18" s="282">
        <v>95</v>
      </c>
      <c r="N18" s="282">
        <v>96.5</v>
      </c>
      <c r="O18" s="282">
        <v>95.8</v>
      </c>
      <c r="P18" s="281">
        <v>96.2</v>
      </c>
      <c r="Q18" s="282">
        <v>97.2</v>
      </c>
      <c r="R18" s="282">
        <v>95.3</v>
      </c>
      <c r="S18" s="282">
        <v>26.1</v>
      </c>
      <c r="T18" s="282">
        <v>96.5</v>
      </c>
      <c r="U18" s="282">
        <v>95.3</v>
      </c>
      <c r="V18" s="284">
        <v>95.7</v>
      </c>
      <c r="W18" s="596">
        <f t="shared" ref="W18:W24" si="0">SUM(B18:V18)</f>
        <v>1769.2999999999997</v>
      </c>
    </row>
    <row r="19" spans="1:25" ht="39.950000000000003" customHeight="1" x14ac:dyDescent="0.25">
      <c r="A19" s="146" t="s">
        <v>24</v>
      </c>
      <c r="B19" s="281">
        <v>90.4</v>
      </c>
      <c r="C19" s="282">
        <v>90.7</v>
      </c>
      <c r="D19" s="282">
        <v>89.7</v>
      </c>
      <c r="E19" s="282">
        <v>23.7</v>
      </c>
      <c r="F19" s="282">
        <v>91.6</v>
      </c>
      <c r="G19" s="282">
        <v>89.7</v>
      </c>
      <c r="H19" s="284">
        <v>92</v>
      </c>
      <c r="I19" s="285">
        <v>95.7</v>
      </c>
      <c r="J19" s="282">
        <v>94.6</v>
      </c>
      <c r="K19" s="282">
        <v>95.9</v>
      </c>
      <c r="L19" s="282">
        <v>26.5</v>
      </c>
      <c r="M19" s="282">
        <v>95.1</v>
      </c>
      <c r="N19" s="282">
        <v>96.6</v>
      </c>
      <c r="O19" s="282">
        <v>95.9</v>
      </c>
      <c r="P19" s="281">
        <v>96.3</v>
      </c>
      <c r="Q19" s="282">
        <v>97.3</v>
      </c>
      <c r="R19" s="282">
        <v>95.5</v>
      </c>
      <c r="S19" s="282">
        <v>26.2</v>
      </c>
      <c r="T19" s="282">
        <v>96.6</v>
      </c>
      <c r="U19" s="282">
        <v>95.5</v>
      </c>
      <c r="V19" s="284">
        <v>95.8</v>
      </c>
      <c r="W19" s="538">
        <f>SUM(B19:V19)</f>
        <v>1771.3</v>
      </c>
    </row>
    <row r="20" spans="1:25" ht="39.75" customHeight="1" x14ac:dyDescent="0.25">
      <c r="A20" s="146" t="s">
        <v>20</v>
      </c>
      <c r="B20" s="281">
        <v>90.4</v>
      </c>
      <c r="C20" s="282">
        <v>90.4</v>
      </c>
      <c r="D20" s="282">
        <v>89.6</v>
      </c>
      <c r="E20" s="282">
        <v>23.5</v>
      </c>
      <c r="F20" s="282">
        <v>91.2</v>
      </c>
      <c r="G20" s="282">
        <v>88.9</v>
      </c>
      <c r="H20" s="284">
        <v>91.8</v>
      </c>
      <c r="I20" s="285">
        <v>95.4</v>
      </c>
      <c r="J20" s="282">
        <v>94.3</v>
      </c>
      <c r="K20" s="282">
        <v>96</v>
      </c>
      <c r="L20" s="282">
        <v>26.2</v>
      </c>
      <c r="M20" s="282">
        <v>95.3</v>
      </c>
      <c r="N20" s="282">
        <v>96.4</v>
      </c>
      <c r="O20" s="282">
        <v>96</v>
      </c>
      <c r="P20" s="281">
        <v>95.9</v>
      </c>
      <c r="Q20" s="282">
        <v>97</v>
      </c>
      <c r="R20" s="282">
        <v>95.1</v>
      </c>
      <c r="S20" s="282">
        <v>23.8</v>
      </c>
      <c r="T20" s="282">
        <v>96.7</v>
      </c>
      <c r="U20" s="282">
        <v>95.3</v>
      </c>
      <c r="V20" s="284">
        <v>95.4</v>
      </c>
      <c r="W20" s="538">
        <f t="shared" si="0"/>
        <v>1764.6</v>
      </c>
    </row>
    <row r="21" spans="1:25" ht="39.950000000000003" customHeight="1" x14ac:dyDescent="0.25">
      <c r="A21" s="146" t="s">
        <v>28</v>
      </c>
      <c r="B21" s="281">
        <v>90.4</v>
      </c>
      <c r="C21" s="282">
        <v>90.5</v>
      </c>
      <c r="D21" s="282">
        <v>89.6</v>
      </c>
      <c r="E21" s="282">
        <v>23</v>
      </c>
      <c r="F21" s="282">
        <v>91.2</v>
      </c>
      <c r="G21" s="282">
        <v>88.7</v>
      </c>
      <c r="H21" s="284">
        <v>91.8</v>
      </c>
      <c r="I21" s="285">
        <v>95.4</v>
      </c>
      <c r="J21" s="282">
        <v>94.3</v>
      </c>
      <c r="K21" s="282">
        <v>96</v>
      </c>
      <c r="L21" s="282">
        <v>26.2</v>
      </c>
      <c r="M21" s="282">
        <v>95.2</v>
      </c>
      <c r="N21" s="282">
        <v>96.4</v>
      </c>
      <c r="O21" s="282">
        <v>96</v>
      </c>
      <c r="P21" s="281">
        <v>95.6</v>
      </c>
      <c r="Q21" s="282">
        <v>97</v>
      </c>
      <c r="R21" s="282">
        <v>95.1</v>
      </c>
      <c r="S21" s="282">
        <v>23.1</v>
      </c>
      <c r="T21" s="282">
        <v>96.6</v>
      </c>
      <c r="U21" s="282">
        <v>95.1</v>
      </c>
      <c r="V21" s="284">
        <v>95.1</v>
      </c>
      <c r="W21" s="538">
        <f t="shared" si="0"/>
        <v>1762.2999999999995</v>
      </c>
    </row>
    <row r="22" spans="1:25" ht="39.950000000000003" customHeight="1" x14ac:dyDescent="0.25">
      <c r="A22" s="146" t="s">
        <v>21</v>
      </c>
      <c r="B22" s="281">
        <v>90.4</v>
      </c>
      <c r="C22" s="282">
        <v>90.5</v>
      </c>
      <c r="D22" s="282">
        <v>89.6</v>
      </c>
      <c r="E22" s="282">
        <v>22.9</v>
      </c>
      <c r="F22" s="282">
        <v>91.3</v>
      </c>
      <c r="G22" s="282">
        <v>88.6</v>
      </c>
      <c r="H22" s="284">
        <v>91.8</v>
      </c>
      <c r="I22" s="285">
        <v>95.4</v>
      </c>
      <c r="J22" s="282">
        <v>94.3</v>
      </c>
      <c r="K22" s="282">
        <v>96</v>
      </c>
      <c r="L22" s="282">
        <v>26.2</v>
      </c>
      <c r="M22" s="282">
        <v>95.2</v>
      </c>
      <c r="N22" s="282">
        <v>96.4</v>
      </c>
      <c r="O22" s="282">
        <v>96</v>
      </c>
      <c r="P22" s="281">
        <v>95.6</v>
      </c>
      <c r="Q22" s="282">
        <v>97</v>
      </c>
      <c r="R22" s="282">
        <v>95.1</v>
      </c>
      <c r="S22" s="282">
        <v>23</v>
      </c>
      <c r="T22" s="282">
        <v>96.6</v>
      </c>
      <c r="U22" s="282">
        <v>95</v>
      </c>
      <c r="V22" s="284">
        <v>95.1</v>
      </c>
      <c r="W22" s="538">
        <f t="shared" si="0"/>
        <v>1761.9999999999995</v>
      </c>
    </row>
    <row r="23" spans="1:25" ht="39.950000000000003" customHeight="1" x14ac:dyDescent="0.25">
      <c r="A23" s="146" t="s">
        <v>22</v>
      </c>
      <c r="B23" s="281">
        <v>90.4</v>
      </c>
      <c r="C23" s="282">
        <v>90.5</v>
      </c>
      <c r="D23" s="282">
        <v>89.6</v>
      </c>
      <c r="E23" s="282">
        <v>22.9</v>
      </c>
      <c r="F23" s="282">
        <v>91.3</v>
      </c>
      <c r="G23" s="282">
        <v>88.6</v>
      </c>
      <c r="H23" s="284">
        <v>91.8</v>
      </c>
      <c r="I23" s="285">
        <v>94.8</v>
      </c>
      <c r="J23" s="282">
        <v>93.8</v>
      </c>
      <c r="K23" s="282">
        <v>95.4</v>
      </c>
      <c r="L23" s="282">
        <v>26.2</v>
      </c>
      <c r="M23" s="282">
        <v>95.2</v>
      </c>
      <c r="N23" s="282">
        <v>95.9</v>
      </c>
      <c r="O23" s="282">
        <v>96</v>
      </c>
      <c r="P23" s="281">
        <v>95.5</v>
      </c>
      <c r="Q23" s="282">
        <v>97</v>
      </c>
      <c r="R23" s="282">
        <v>95.1</v>
      </c>
      <c r="S23" s="282">
        <v>22.5</v>
      </c>
      <c r="T23" s="282">
        <v>96.6</v>
      </c>
      <c r="U23" s="282">
        <v>95</v>
      </c>
      <c r="V23" s="284">
        <v>95.1</v>
      </c>
      <c r="W23" s="538">
        <f t="shared" si="0"/>
        <v>1759.1999999999996</v>
      </c>
    </row>
    <row r="24" spans="1:25" ht="39.950000000000003" customHeight="1" thickBot="1" x14ac:dyDescent="0.3">
      <c r="A24" s="146" t="s">
        <v>23</v>
      </c>
      <c r="B24" s="281">
        <v>90.4</v>
      </c>
      <c r="C24" s="282">
        <v>90.5</v>
      </c>
      <c r="D24" s="282">
        <v>89.5</v>
      </c>
      <c r="E24" s="282">
        <v>22.9</v>
      </c>
      <c r="F24" s="282">
        <v>91.3</v>
      </c>
      <c r="G24" s="282">
        <v>88.6</v>
      </c>
      <c r="H24" s="284">
        <v>91.8</v>
      </c>
      <c r="I24" s="285">
        <v>94.9</v>
      </c>
      <c r="J24" s="282">
        <v>93.7</v>
      </c>
      <c r="K24" s="282">
        <v>95.5</v>
      </c>
      <c r="L24" s="282">
        <v>26.1</v>
      </c>
      <c r="M24" s="282">
        <v>95.2</v>
      </c>
      <c r="N24" s="282">
        <v>95.8</v>
      </c>
      <c r="O24" s="282">
        <v>96</v>
      </c>
      <c r="P24" s="281">
        <v>95.5</v>
      </c>
      <c r="Q24" s="282">
        <v>97</v>
      </c>
      <c r="R24" s="282">
        <v>95</v>
      </c>
      <c r="S24" s="282">
        <v>22.4</v>
      </c>
      <c r="T24" s="282">
        <v>96.6</v>
      </c>
      <c r="U24" s="282">
        <v>95</v>
      </c>
      <c r="V24" s="284">
        <v>95.1</v>
      </c>
      <c r="W24" s="98">
        <f t="shared" si="0"/>
        <v>1758.8</v>
      </c>
    </row>
    <row r="25" spans="1:25" ht="41.45" customHeight="1" x14ac:dyDescent="0.25">
      <c r="A25" s="182" t="s">
        <v>9</v>
      </c>
      <c r="B25" s="122">
        <f>SUM(B18:B24)</f>
        <v>632.69999999999993</v>
      </c>
      <c r="C25" s="120">
        <f>SUM(C18:C24)</f>
        <v>633.9</v>
      </c>
      <c r="D25" s="120">
        <f t="shared" ref="D25:V25" si="1">SUM(D18:D24)</f>
        <v>627.20000000000005</v>
      </c>
      <c r="E25" s="120">
        <f>SUM(E18:E24)</f>
        <v>162.60000000000002</v>
      </c>
      <c r="F25" s="120">
        <f t="shared" si="1"/>
        <v>639.4</v>
      </c>
      <c r="G25" s="120">
        <f t="shared" si="1"/>
        <v>622.70000000000005</v>
      </c>
      <c r="H25" s="121">
        <f t="shared" si="1"/>
        <v>642.79999999999995</v>
      </c>
      <c r="I25" s="122">
        <f t="shared" si="1"/>
        <v>667.3</v>
      </c>
      <c r="J25" s="120">
        <f t="shared" si="1"/>
        <v>659.5</v>
      </c>
      <c r="K25" s="120">
        <f t="shared" si="1"/>
        <v>670.6</v>
      </c>
      <c r="L25" s="120">
        <f t="shared" si="1"/>
        <v>183.79999999999998</v>
      </c>
      <c r="M25" s="120">
        <f t="shared" si="1"/>
        <v>666.2</v>
      </c>
      <c r="N25" s="120">
        <f t="shared" si="1"/>
        <v>673.99999999999989</v>
      </c>
      <c r="O25" s="121">
        <f t="shared" si="1"/>
        <v>671.7</v>
      </c>
      <c r="P25" s="122">
        <f t="shared" si="1"/>
        <v>670.6</v>
      </c>
      <c r="Q25" s="120">
        <f t="shared" si="1"/>
        <v>679.5</v>
      </c>
      <c r="R25" s="120">
        <f t="shared" si="1"/>
        <v>666.2</v>
      </c>
      <c r="S25" s="120">
        <f>SUM(S18:S24)</f>
        <v>167.1</v>
      </c>
      <c r="T25" s="120">
        <f t="shared" si="1"/>
        <v>676.2</v>
      </c>
      <c r="U25" s="120">
        <f t="shared" si="1"/>
        <v>666.2</v>
      </c>
      <c r="V25" s="121">
        <f t="shared" si="1"/>
        <v>667.30000000000007</v>
      </c>
      <c r="W25" s="361">
        <f>SUM(W18:W24)</f>
        <v>12347.499999999996</v>
      </c>
    </row>
    <row r="26" spans="1:25" s="2" customFormat="1" ht="36.75" customHeight="1" x14ac:dyDescent="0.25">
      <c r="A26" s="148" t="s">
        <v>11</v>
      </c>
      <c r="B26" s="487">
        <v>159.1399999999999</v>
      </c>
      <c r="C26" s="487">
        <v>159.1399999999999</v>
      </c>
      <c r="D26" s="487">
        <v>159.1399999999999</v>
      </c>
      <c r="E26" s="487">
        <v>159.1399999999999</v>
      </c>
      <c r="F26" s="487">
        <v>159.1399999999999</v>
      </c>
      <c r="G26" s="487">
        <v>159.1399999999999</v>
      </c>
      <c r="H26" s="487">
        <v>159.1399999999999</v>
      </c>
      <c r="I26" s="487">
        <v>159.1399999999999</v>
      </c>
      <c r="J26" s="487">
        <v>159.1399999999999</v>
      </c>
      <c r="K26" s="487">
        <v>159.1399999999999</v>
      </c>
      <c r="L26" s="487">
        <v>159.1399999999999</v>
      </c>
      <c r="M26" s="487">
        <v>159.1399999999999</v>
      </c>
      <c r="N26" s="487">
        <v>159.1399999999999</v>
      </c>
      <c r="O26" s="487">
        <v>159.1399999999999</v>
      </c>
      <c r="P26" s="487">
        <v>159.1399999999999</v>
      </c>
      <c r="Q26" s="487">
        <v>159.1399999999999</v>
      </c>
      <c r="R26" s="487">
        <v>159.1399999999999</v>
      </c>
      <c r="S26" s="487">
        <v>159.1399999999999</v>
      </c>
      <c r="T26" s="487">
        <v>159.1399999999999</v>
      </c>
      <c r="U26" s="487">
        <v>159.1399999999999</v>
      </c>
      <c r="V26" s="487">
        <v>159.1399999999999</v>
      </c>
      <c r="W26" s="99">
        <f>((W25/W27)/7)*1000</f>
        <v>159.27120283779422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569</v>
      </c>
      <c r="D27" s="27">
        <v>562</v>
      </c>
      <c r="E27" s="27">
        <v>145</v>
      </c>
      <c r="F27" s="27">
        <v>574</v>
      </c>
      <c r="G27" s="27">
        <v>559</v>
      </c>
      <c r="H27" s="28">
        <v>577</v>
      </c>
      <c r="I27" s="26">
        <v>599</v>
      </c>
      <c r="J27" s="27">
        <v>592</v>
      </c>
      <c r="K27" s="27">
        <v>602</v>
      </c>
      <c r="L27" s="27">
        <v>164</v>
      </c>
      <c r="M27" s="27">
        <v>598</v>
      </c>
      <c r="N27" s="27">
        <v>603</v>
      </c>
      <c r="O27" s="28">
        <v>602</v>
      </c>
      <c r="P27" s="26">
        <v>602</v>
      </c>
      <c r="Q27" s="27">
        <v>610</v>
      </c>
      <c r="R27" s="27">
        <v>598</v>
      </c>
      <c r="S27" s="27">
        <v>149</v>
      </c>
      <c r="T27" s="27">
        <v>606</v>
      </c>
      <c r="U27" s="27">
        <v>598</v>
      </c>
      <c r="V27" s="28">
        <v>599</v>
      </c>
      <c r="W27" s="29">
        <f>SUM(B27:V27)</f>
        <v>11075</v>
      </c>
    </row>
    <row r="28" spans="1:25" s="2" customFormat="1" ht="33" customHeight="1" x14ac:dyDescent="0.25">
      <c r="A28" s="150" t="s">
        <v>13</v>
      </c>
      <c r="B28" s="30">
        <f>(((((B26*7)*B27)/1000))/7)</f>
        <v>90.232379999999935</v>
      </c>
      <c r="C28" s="30">
        <f t="shared" ref="C28:V28" si="2">(((((C26*7)*C27)/1000))/7)</f>
        <v>90.550659999999951</v>
      </c>
      <c r="D28" s="30">
        <f t="shared" si="2"/>
        <v>89.436679999999953</v>
      </c>
      <c r="E28" s="30">
        <f t="shared" si="2"/>
        <v>23.075299999999981</v>
      </c>
      <c r="F28" s="30">
        <f t="shared" si="2"/>
        <v>91.346359999999962</v>
      </c>
      <c r="G28" s="30">
        <f t="shared" si="2"/>
        <v>88.959259999999944</v>
      </c>
      <c r="H28" s="30">
        <f t="shared" si="2"/>
        <v>91.823779999999942</v>
      </c>
      <c r="I28" s="30">
        <f t="shared" si="2"/>
        <v>95.324859999999944</v>
      </c>
      <c r="J28" s="30">
        <f t="shared" si="2"/>
        <v>94.210879999999946</v>
      </c>
      <c r="K28" s="30">
        <f t="shared" si="2"/>
        <v>95.802279999999953</v>
      </c>
      <c r="L28" s="30">
        <f t="shared" si="2"/>
        <v>26.098959999999984</v>
      </c>
      <c r="M28" s="30">
        <f t="shared" si="2"/>
        <v>95.165719999999936</v>
      </c>
      <c r="N28" s="30">
        <f t="shared" si="2"/>
        <v>95.961419999999947</v>
      </c>
      <c r="O28" s="30">
        <f t="shared" si="2"/>
        <v>95.802279999999953</v>
      </c>
      <c r="P28" s="30">
        <f t="shared" si="2"/>
        <v>95.802279999999953</v>
      </c>
      <c r="Q28" s="30">
        <f t="shared" si="2"/>
        <v>97.075399999999945</v>
      </c>
      <c r="R28" s="30">
        <f t="shared" si="2"/>
        <v>95.165719999999936</v>
      </c>
      <c r="S28" s="30">
        <f t="shared" si="2"/>
        <v>23.711859999999984</v>
      </c>
      <c r="T28" s="30">
        <f t="shared" si="2"/>
        <v>96.438839999999942</v>
      </c>
      <c r="U28" s="30">
        <f t="shared" si="2"/>
        <v>95.165719999999936</v>
      </c>
      <c r="V28" s="30">
        <f t="shared" si="2"/>
        <v>95.324859999999944</v>
      </c>
      <c r="W28" s="362">
        <f>((W25*1000)/7)/W27</f>
        <v>159.27120283779422</v>
      </c>
    </row>
    <row r="29" spans="1:25" ht="33.75" customHeight="1" x14ac:dyDescent="0.25">
      <c r="A29" s="151" t="s">
        <v>14</v>
      </c>
      <c r="B29" s="281">
        <f>((B27*B26)*7)/1000</f>
        <v>631.62665999999967</v>
      </c>
      <c r="C29" s="282">
        <f>((C27*C26)*7)/1000</f>
        <v>633.85461999999961</v>
      </c>
      <c r="D29" s="282">
        <f t="shared" ref="D29:V29" si="3">((D27*D26)*7)/1000</f>
        <v>626.05675999999971</v>
      </c>
      <c r="E29" s="282">
        <f t="shared" si="3"/>
        <v>161.52709999999988</v>
      </c>
      <c r="F29" s="282">
        <f t="shared" si="3"/>
        <v>639.42451999999957</v>
      </c>
      <c r="G29" s="282">
        <f t="shared" si="3"/>
        <v>622.71481999999958</v>
      </c>
      <c r="H29" s="284">
        <f t="shared" si="3"/>
        <v>642.7664599999996</v>
      </c>
      <c r="I29" s="281">
        <f t="shared" si="3"/>
        <v>667.27401999999961</v>
      </c>
      <c r="J29" s="282">
        <f t="shared" si="3"/>
        <v>659.47615999999971</v>
      </c>
      <c r="K29" s="282">
        <f t="shared" si="3"/>
        <v>670.61595999999963</v>
      </c>
      <c r="L29" s="282">
        <f t="shared" si="3"/>
        <v>182.69271999999989</v>
      </c>
      <c r="M29" s="282">
        <f t="shared" si="3"/>
        <v>666.16003999999953</v>
      </c>
      <c r="N29" s="282">
        <f t="shared" si="3"/>
        <v>671.7299399999996</v>
      </c>
      <c r="O29" s="284">
        <f t="shared" si="3"/>
        <v>670.61595999999963</v>
      </c>
      <c r="P29" s="281">
        <f t="shared" si="3"/>
        <v>670.61595999999963</v>
      </c>
      <c r="Q29" s="282">
        <f t="shared" si="3"/>
        <v>679.52779999999962</v>
      </c>
      <c r="R29" s="282">
        <f t="shared" si="3"/>
        <v>666.16003999999953</v>
      </c>
      <c r="S29" s="282">
        <f t="shared" si="3"/>
        <v>165.9830199999999</v>
      </c>
      <c r="T29" s="282">
        <f t="shared" si="3"/>
        <v>675.07187999999951</v>
      </c>
      <c r="U29" s="282">
        <f t="shared" si="3"/>
        <v>666.16003999999953</v>
      </c>
      <c r="V29" s="284">
        <f t="shared" si="3"/>
        <v>667.27401999999961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159.41043083900226</v>
      </c>
      <c r="C30" s="38">
        <f t="shared" ref="C30:V30" si="4">+(C25/C27)/7*1000</f>
        <v>159.15139342204367</v>
      </c>
      <c r="D30" s="38">
        <f t="shared" si="4"/>
        <v>159.43060498220643</v>
      </c>
      <c r="E30" s="38">
        <f t="shared" si="4"/>
        <v>160.1970443349754</v>
      </c>
      <c r="F30" s="38">
        <f t="shared" si="4"/>
        <v>159.1338974614236</v>
      </c>
      <c r="G30" s="38">
        <f t="shared" si="4"/>
        <v>159.13621262458474</v>
      </c>
      <c r="H30" s="39">
        <f t="shared" si="4"/>
        <v>159.14830403565236</v>
      </c>
      <c r="I30" s="37">
        <f t="shared" si="4"/>
        <v>159.14619604102074</v>
      </c>
      <c r="J30" s="38">
        <f t="shared" si="4"/>
        <v>159.14575289575288</v>
      </c>
      <c r="K30" s="38">
        <f t="shared" si="4"/>
        <v>159.13621262458472</v>
      </c>
      <c r="L30" s="38">
        <f t="shared" si="4"/>
        <v>160.10452961672473</v>
      </c>
      <c r="M30" s="38">
        <f t="shared" si="4"/>
        <v>159.14954610606785</v>
      </c>
      <c r="N30" s="38">
        <f t="shared" si="4"/>
        <v>159.67780146884621</v>
      </c>
      <c r="O30" s="39">
        <f t="shared" si="4"/>
        <v>159.39724727100145</v>
      </c>
      <c r="P30" s="37">
        <f t="shared" si="4"/>
        <v>159.13621262458472</v>
      </c>
      <c r="Q30" s="38">
        <f t="shared" si="4"/>
        <v>159.13348946135829</v>
      </c>
      <c r="R30" s="38">
        <f t="shared" si="4"/>
        <v>159.14954610606785</v>
      </c>
      <c r="S30" s="38">
        <f t="shared" si="4"/>
        <v>160.21093000958771</v>
      </c>
      <c r="T30" s="38">
        <f t="shared" si="4"/>
        <v>159.40594059405942</v>
      </c>
      <c r="U30" s="38">
        <f t="shared" si="4"/>
        <v>159.14954610606785</v>
      </c>
      <c r="V30" s="39">
        <f t="shared" si="4"/>
        <v>159.14619604102077</v>
      </c>
      <c r="W30" s="40"/>
    </row>
    <row r="31" spans="1:25" ht="33.75" customHeight="1" x14ac:dyDescent="0.25">
      <c r="A31" s="41"/>
      <c r="B31" s="42">
        <f>B29-B25</f>
        <v>-1.0733400000002575</v>
      </c>
      <c r="C31" s="42">
        <f t="shared" ref="C31:V32" si="5">C29-C25</f>
        <v>-4.5380000000363907E-2</v>
      </c>
      <c r="D31" s="42">
        <f t="shared" si="5"/>
        <v>-1.1432400000003327</v>
      </c>
      <c r="E31" s="42">
        <f t="shared" si="5"/>
        <v>-1.0729000000001463</v>
      </c>
      <c r="F31" s="42">
        <f t="shared" si="5"/>
        <v>2.451999999959753E-2</v>
      </c>
      <c r="G31" s="42">
        <f t="shared" si="5"/>
        <v>1.4819999999531319E-2</v>
      </c>
      <c r="H31" s="42">
        <f t="shared" si="5"/>
        <v>-3.3540000000357395E-2</v>
      </c>
      <c r="I31" s="42">
        <f t="shared" si="5"/>
        <v>-2.5980000000345171E-2</v>
      </c>
      <c r="J31" s="42">
        <f t="shared" si="5"/>
        <v>-2.3840000000291184E-2</v>
      </c>
      <c r="K31" s="42">
        <f t="shared" si="5"/>
        <v>1.5959999999608954E-2</v>
      </c>
      <c r="L31" s="42">
        <f t="shared" si="5"/>
        <v>-1.1072800000000882</v>
      </c>
      <c r="M31" s="42">
        <f t="shared" si="5"/>
        <v>-3.9960000000519358E-2</v>
      </c>
      <c r="N31" s="42">
        <f t="shared" si="5"/>
        <v>-2.2700600000002851</v>
      </c>
      <c r="O31" s="42">
        <f t="shared" si="5"/>
        <v>-1.0840400000004138</v>
      </c>
      <c r="P31" s="42">
        <f t="shared" si="5"/>
        <v>1.5959999999608954E-2</v>
      </c>
      <c r="Q31" s="42">
        <f t="shared" si="5"/>
        <v>2.7799999999615466E-2</v>
      </c>
      <c r="R31" s="42">
        <f t="shared" si="5"/>
        <v>-3.9960000000519358E-2</v>
      </c>
      <c r="S31" s="42">
        <f t="shared" si="5"/>
        <v>-1.1169800000000976</v>
      </c>
      <c r="T31" s="42">
        <f t="shared" si="5"/>
        <v>-1.1281200000005356</v>
      </c>
      <c r="U31" s="42">
        <f t="shared" si="5"/>
        <v>-3.9960000000519358E-2</v>
      </c>
      <c r="V31" s="42">
        <f t="shared" si="5"/>
        <v>-2.5980000000458858E-2</v>
      </c>
      <c r="W31" s="42"/>
      <c r="X31" s="42"/>
    </row>
    <row r="32" spans="1:25" ht="33.75" customHeight="1" x14ac:dyDescent="0.25">
      <c r="A32" s="41"/>
      <c r="B32" s="42">
        <f>B30-B26</f>
        <v>0.27043083900235843</v>
      </c>
      <c r="C32" s="42">
        <f t="shared" si="5"/>
        <v>1.1393422043767032E-2</v>
      </c>
      <c r="D32" s="42">
        <f t="shared" si="5"/>
        <v>0.2906049822065313</v>
      </c>
      <c r="E32" s="42">
        <f t="shared" si="5"/>
        <v>1.057044334975501</v>
      </c>
      <c r="F32" s="42">
        <f t="shared" si="5"/>
        <v>-6.102538576300276E-3</v>
      </c>
      <c r="G32" s="42">
        <f t="shared" si="5"/>
        <v>-3.7873754151576122E-3</v>
      </c>
      <c r="H32" s="42">
        <f t="shared" si="5"/>
        <v>8.3040356524577419E-3</v>
      </c>
      <c r="I32" s="42">
        <f t="shared" si="5"/>
        <v>6.1960410208428129E-3</v>
      </c>
      <c r="J32" s="42">
        <f t="shared" si="5"/>
        <v>5.7528957529768832E-3</v>
      </c>
      <c r="K32" s="42">
        <f t="shared" si="5"/>
        <v>-3.7873754151860339E-3</v>
      </c>
      <c r="L32" s="42">
        <f t="shared" si="5"/>
        <v>0.96452961672483184</v>
      </c>
      <c r="M32" s="42">
        <f t="shared" si="5"/>
        <v>9.5461060679440379E-3</v>
      </c>
      <c r="N32" s="42">
        <f t="shared" si="5"/>
        <v>0.53780146884631108</v>
      </c>
      <c r="O32" s="42">
        <f t="shared" si="5"/>
        <v>0.2572472710015461</v>
      </c>
      <c r="P32" s="42">
        <f t="shared" si="5"/>
        <v>-3.7873754151860339E-3</v>
      </c>
      <c r="Q32" s="42">
        <f>Q30-Q26</f>
        <v>-6.5105386416064448E-3</v>
      </c>
      <c r="R32" s="42">
        <f t="shared" si="5"/>
        <v>9.5461060679440379E-3</v>
      </c>
      <c r="S32" s="42">
        <f t="shared" si="5"/>
        <v>1.070930009587812</v>
      </c>
      <c r="T32" s="42">
        <f t="shared" si="5"/>
        <v>0.26594059405951498</v>
      </c>
      <c r="U32" s="42">
        <f t="shared" si="5"/>
        <v>9.5461060679440379E-3</v>
      </c>
      <c r="V32" s="42">
        <f t="shared" si="5"/>
        <v>6.1960410208712347E-3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</v>
      </c>
      <c r="C39" s="282">
        <v>87.1</v>
      </c>
      <c r="D39" s="282">
        <v>18.899999999999999</v>
      </c>
      <c r="E39" s="282">
        <v>89.9</v>
      </c>
      <c r="F39" s="282">
        <v>88.8</v>
      </c>
      <c r="G39" s="284">
        <v>90.2</v>
      </c>
      <c r="H39" s="540">
        <f t="shared" ref="H39:H46" si="6">SUM(B39:G39)</f>
        <v>461.9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</v>
      </c>
      <c r="C40" s="282">
        <v>87.1</v>
      </c>
      <c r="D40" s="282">
        <v>18.899999999999999</v>
      </c>
      <c r="E40" s="282">
        <v>90</v>
      </c>
      <c r="F40" s="282">
        <v>89</v>
      </c>
      <c r="G40" s="284">
        <v>90.4</v>
      </c>
      <c r="H40" s="539">
        <f t="shared" si="6"/>
        <v>462.4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1.1000000000000001</v>
      </c>
      <c r="R40" s="282">
        <v>6.8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86.4</v>
      </c>
      <c r="C41" s="282">
        <v>86.3</v>
      </c>
      <c r="D41" s="282">
        <v>17.899999999999999</v>
      </c>
      <c r="E41" s="282">
        <v>89.7</v>
      </c>
      <c r="F41" s="282">
        <v>88.8</v>
      </c>
      <c r="G41" s="284">
        <v>90.5</v>
      </c>
      <c r="H41" s="539">
        <f t="shared" si="6"/>
        <v>459.6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6.5</v>
      </c>
      <c r="Q41" s="486">
        <v>1</v>
      </c>
      <c r="R41" s="486">
        <v>7</v>
      </c>
      <c r="S41" s="486">
        <v>6.4</v>
      </c>
      <c r="T41" s="486">
        <v>6.8</v>
      </c>
      <c r="U41" s="539">
        <f t="shared" si="7"/>
        <v>34.099999999999994</v>
      </c>
      <c r="V41" s="49"/>
      <c r="W41" s="48"/>
    </row>
    <row r="42" spans="1:25" ht="33.75" customHeight="1" x14ac:dyDescent="0.25">
      <c r="A42" s="146" t="s">
        <v>28</v>
      </c>
      <c r="B42" s="281">
        <v>86.5</v>
      </c>
      <c r="C42" s="282">
        <v>86.2</v>
      </c>
      <c r="D42" s="282">
        <v>17.399999999999999</v>
      </c>
      <c r="E42" s="282">
        <v>89.7</v>
      </c>
      <c r="F42" s="282">
        <v>88.6</v>
      </c>
      <c r="G42" s="284">
        <v>90.4</v>
      </c>
      <c r="H42" s="539">
        <f t="shared" si="6"/>
        <v>458.79999999999995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2</v>
      </c>
      <c r="R42" s="282">
        <v>7</v>
      </c>
      <c r="S42" s="282">
        <v>6.5</v>
      </c>
      <c r="T42" s="282">
        <v>6.9</v>
      </c>
      <c r="U42" s="539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86.2</v>
      </c>
      <c r="C43" s="282">
        <v>86.2</v>
      </c>
      <c r="D43" s="282">
        <v>17</v>
      </c>
      <c r="E43" s="282">
        <v>89.7</v>
      </c>
      <c r="F43" s="282">
        <v>88.2</v>
      </c>
      <c r="G43" s="284">
        <v>90.4</v>
      </c>
      <c r="H43" s="539">
        <f t="shared" si="6"/>
        <v>457.70000000000005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1.9</v>
      </c>
      <c r="R43" s="282">
        <v>7</v>
      </c>
      <c r="S43" s="282">
        <v>6.5</v>
      </c>
      <c r="T43" s="282">
        <v>6.9</v>
      </c>
      <c r="U43" s="539">
        <f t="shared" si="7"/>
        <v>35.200000000000003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85.7</v>
      </c>
      <c r="D44" s="282">
        <v>16.399999999999999</v>
      </c>
      <c r="E44" s="282">
        <v>89.7</v>
      </c>
      <c r="F44" s="282">
        <v>88.1</v>
      </c>
      <c r="G44" s="284">
        <v>90.4</v>
      </c>
      <c r="H44" s="539">
        <f t="shared" si="6"/>
        <v>455.29999999999995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1.9</v>
      </c>
      <c r="R44" s="282">
        <v>7</v>
      </c>
      <c r="S44" s="282">
        <v>6.5</v>
      </c>
      <c r="T44" s="282">
        <v>6.9</v>
      </c>
      <c r="U44" s="539">
        <f t="shared" si="7"/>
        <v>35.200000000000003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85.6</v>
      </c>
      <c r="D45" s="282">
        <v>16.3</v>
      </c>
      <c r="E45" s="282">
        <v>89.7</v>
      </c>
      <c r="F45" s="282">
        <v>88.1</v>
      </c>
      <c r="G45" s="284">
        <v>90.4</v>
      </c>
      <c r="H45" s="265">
        <f t="shared" si="6"/>
        <v>455.1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1.9</v>
      </c>
      <c r="R45" s="282">
        <v>6.9</v>
      </c>
      <c r="S45" s="282">
        <v>6.5</v>
      </c>
      <c r="T45" s="282">
        <v>7</v>
      </c>
      <c r="U45" s="264">
        <f t="shared" si="7"/>
        <v>35.200000000000003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603.09999999999991</v>
      </c>
      <c r="C46" s="120">
        <f t="shared" si="8"/>
        <v>604.20000000000005</v>
      </c>
      <c r="D46" s="120">
        <f t="shared" si="8"/>
        <v>122.8</v>
      </c>
      <c r="E46" s="120">
        <f t="shared" si="8"/>
        <v>628.40000000000009</v>
      </c>
      <c r="F46" s="120">
        <f t="shared" si="8"/>
        <v>619.6</v>
      </c>
      <c r="G46" s="121">
        <f t="shared" si="8"/>
        <v>632.69999999999993</v>
      </c>
      <c r="H46" s="560">
        <f t="shared" si="6"/>
        <v>3210.7999999999997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48.4</v>
      </c>
      <c r="S46" s="120">
        <f t="shared" si="9"/>
        <v>47.3</v>
      </c>
      <c r="T46" s="120">
        <f t="shared" si="9"/>
        <v>48.8</v>
      </c>
      <c r="U46" s="326">
        <f>SUM(O46:T46)</f>
        <v>245.60000000000002</v>
      </c>
      <c r="V46" s="49"/>
      <c r="W46" s="2"/>
    </row>
    <row r="47" spans="1:25" ht="33.75" customHeight="1" x14ac:dyDescent="0.25">
      <c r="A47" s="148" t="s">
        <v>11</v>
      </c>
      <c r="B47" s="555">
        <v>156.65999999999997</v>
      </c>
      <c r="C47" s="555">
        <v>156.65999999999997</v>
      </c>
      <c r="D47" s="555">
        <v>156.65999999999997</v>
      </c>
      <c r="E47" s="555">
        <v>156.65999999999997</v>
      </c>
      <c r="F47" s="555">
        <v>156.65999999999997</v>
      </c>
      <c r="G47" s="555">
        <v>156.65999999999997</v>
      </c>
      <c r="H47" s="234">
        <f>+((H46/H48)/7)*1000</f>
        <v>156.86925933163963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152.54658385093171</v>
      </c>
      <c r="V47" s="50"/>
    </row>
    <row r="48" spans="1:25" ht="33.75" customHeight="1" x14ac:dyDescent="0.25">
      <c r="A48" s="149" t="s">
        <v>12</v>
      </c>
      <c r="B48" s="26">
        <v>550</v>
      </c>
      <c r="C48" s="27">
        <v>551</v>
      </c>
      <c r="D48" s="27">
        <v>110</v>
      </c>
      <c r="E48" s="27">
        <v>572</v>
      </c>
      <c r="F48" s="27">
        <v>565</v>
      </c>
      <c r="G48" s="28">
        <v>576</v>
      </c>
      <c r="H48" s="256">
        <f>SUM(B48:G48)</f>
        <v>2924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86.162999999999982</v>
      </c>
      <c r="C49" s="30">
        <f t="shared" ref="C49:G49" si="10">(((((C47*7)*C48)/1000)/7))</f>
        <v>86.319659999999999</v>
      </c>
      <c r="D49" s="30">
        <f t="shared" si="10"/>
        <v>17.232599999999998</v>
      </c>
      <c r="E49" s="30">
        <f t="shared" si="10"/>
        <v>89.609519999999989</v>
      </c>
      <c r="F49" s="30">
        <f t="shared" si="10"/>
        <v>88.512899999999988</v>
      </c>
      <c r="G49" s="30">
        <f t="shared" si="10"/>
        <v>90.23615999999997</v>
      </c>
      <c r="H49" s="257">
        <f>((H46*1000)/H48)/7</f>
        <v>156.8692593316396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1.55</v>
      </c>
      <c r="R49" s="30">
        <f t="shared" si="11"/>
        <v>6.9074999999999998</v>
      </c>
      <c r="S49" s="30">
        <f t="shared" si="11"/>
        <v>6.7539999999999996</v>
      </c>
      <c r="T49" s="30">
        <f t="shared" si="11"/>
        <v>6.9750000000000005</v>
      </c>
      <c r="U49" s="253">
        <f>((U46*1000)/U48)/7</f>
        <v>152.54658385093171</v>
      </c>
      <c r="V49" s="192"/>
    </row>
    <row r="50" spans="1:23" ht="33.75" customHeight="1" x14ac:dyDescent="0.25">
      <c r="A50" s="151" t="s">
        <v>14</v>
      </c>
      <c r="B50" s="281">
        <f>((B48*B47)*7)/1000</f>
        <v>603.14099999999985</v>
      </c>
      <c r="C50" s="282">
        <f t="shared" ref="C50:G50" si="12">((C48*C47)*7)/1000</f>
        <v>604.23761999999988</v>
      </c>
      <c r="D50" s="282">
        <f t="shared" si="12"/>
        <v>120.62819999999996</v>
      </c>
      <c r="E50" s="282">
        <f t="shared" si="12"/>
        <v>627.26663999999982</v>
      </c>
      <c r="F50" s="282">
        <f t="shared" si="12"/>
        <v>619.59029999999984</v>
      </c>
      <c r="G50" s="284">
        <f t="shared" si="12"/>
        <v>631.65311999999983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10.85</v>
      </c>
      <c r="R50" s="282">
        <f t="shared" si="13"/>
        <v>48.352499999999999</v>
      </c>
      <c r="S50" s="282">
        <f t="shared" si="13"/>
        <v>47.277999999999999</v>
      </c>
      <c r="T50" s="282">
        <f t="shared" si="13"/>
        <v>48.825000000000003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156.64935064935065</v>
      </c>
      <c r="C51" s="38">
        <f t="shared" si="14"/>
        <v>156.65024630541873</v>
      </c>
      <c r="D51" s="38">
        <f t="shared" si="14"/>
        <v>159.48051948051949</v>
      </c>
      <c r="E51" s="38">
        <f t="shared" si="14"/>
        <v>156.94305694305697</v>
      </c>
      <c r="F51" s="38">
        <f t="shared" si="14"/>
        <v>156.66245259165615</v>
      </c>
      <c r="G51" s="39">
        <f t="shared" si="14"/>
        <v>156.91964285714286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153.65079365079364</v>
      </c>
      <c r="S51" s="38">
        <f t="shared" si="15"/>
        <v>153.57142857142856</v>
      </c>
      <c r="T51" s="38">
        <f t="shared" si="15"/>
        <v>154.92063492063491</v>
      </c>
      <c r="U51" s="255"/>
      <c r="V51" s="42"/>
    </row>
    <row r="52" spans="1:23" ht="33.75" customHeight="1" x14ac:dyDescent="0.25">
      <c r="A52" s="41"/>
      <c r="B52" s="42">
        <f>B50-B46</f>
        <v>4.0999999999939973E-2</v>
      </c>
      <c r="C52" s="42">
        <f t="shared" ref="C52:G53" si="16">C50-C46</f>
        <v>3.7619999999833453E-2</v>
      </c>
      <c r="D52" s="42">
        <f t="shared" si="16"/>
        <v>-2.171800000000033</v>
      </c>
      <c r="E52" s="42">
        <f t="shared" si="16"/>
        <v>-1.1333600000002662</v>
      </c>
      <c r="F52" s="42">
        <f t="shared" si="16"/>
        <v>-9.7000000001798981E-3</v>
      </c>
      <c r="G52" s="42">
        <f t="shared" si="16"/>
        <v>-1.0468800000001011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4.9999999999998934E-2</v>
      </c>
      <c r="R52" s="42">
        <f t="shared" si="17"/>
        <v>-4.7499999999999432E-2</v>
      </c>
      <c r="S52" s="42">
        <f t="shared" si="17"/>
        <v>-2.1999999999998465E-2</v>
      </c>
      <c r="T52" s="42">
        <f t="shared" si="17"/>
        <v>2.5000000000005684E-2</v>
      </c>
    </row>
    <row r="53" spans="1:23" ht="33.75" customHeight="1" x14ac:dyDescent="0.25">
      <c r="A53" s="41"/>
      <c r="B53" s="42">
        <f>B51-B47</f>
        <v>-1.0649350649316602E-2</v>
      </c>
      <c r="C53" s="42">
        <f t="shared" si="16"/>
        <v>-9.753694581235095E-3</v>
      </c>
      <c r="D53" s="42">
        <f t="shared" si="16"/>
        <v>2.8205194805195219</v>
      </c>
      <c r="E53" s="42">
        <f t="shared" si="16"/>
        <v>0.28305694305700513</v>
      </c>
      <c r="F53" s="42">
        <f t="shared" si="16"/>
        <v>2.4525916561799477E-3</v>
      </c>
      <c r="G53" s="42">
        <f t="shared" si="16"/>
        <v>0.25964285714289304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-0.71428571428569398</v>
      </c>
      <c r="R53" s="42">
        <f t="shared" si="17"/>
        <v>0.15079365079364493</v>
      </c>
      <c r="S53" s="42">
        <f t="shared" si="17"/>
        <v>7.1428571428555188E-2</v>
      </c>
      <c r="T53" s="42">
        <f t="shared" si="17"/>
        <v>-7.9365079365089741E-2</v>
      </c>
      <c r="W53" s="2"/>
    </row>
    <row r="54" spans="1:23" ht="33.75" customHeight="1" x14ac:dyDescent="0.25">
      <c r="A54" s="41"/>
      <c r="B54" s="1061"/>
      <c r="C54" s="1061"/>
      <c r="D54" s="106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8.1999999999999993</v>
      </c>
      <c r="R63" s="561">
        <v>8</v>
      </c>
      <c r="S63" s="561">
        <v>2.2000000000000002</v>
      </c>
      <c r="T63" s="561">
        <v>7.6</v>
      </c>
      <c r="U63" s="561">
        <v>7.6</v>
      </c>
      <c r="V63" s="474">
        <v>7.5</v>
      </c>
      <c r="W63" s="539">
        <f t="shared" si="18"/>
        <v>147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8</v>
      </c>
      <c r="S64" s="561">
        <v>2.2000000000000002</v>
      </c>
      <c r="T64" s="561">
        <v>7.6</v>
      </c>
      <c r="U64" s="561">
        <v>7.6</v>
      </c>
      <c r="V64" s="474">
        <v>7.5</v>
      </c>
      <c r="W64" s="539">
        <f t="shared" si="18"/>
        <v>146.70000000000002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7.4</v>
      </c>
      <c r="W65" s="539">
        <f t="shared" si="18"/>
        <v>146.70000000000002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</v>
      </c>
      <c r="J66" s="561">
        <v>7.5</v>
      </c>
      <c r="K66" s="282">
        <v>8.1999999999999993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7.5</v>
      </c>
      <c r="V66" s="474">
        <v>7.4</v>
      </c>
      <c r="W66" s="265">
        <f t="shared" si="18"/>
        <v>147.10000000000002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</v>
      </c>
      <c r="R67" s="120">
        <f t="shared" si="19"/>
        <v>55.7</v>
      </c>
      <c r="S67" s="120">
        <f t="shared" si="19"/>
        <v>15.3</v>
      </c>
      <c r="T67" s="120">
        <f t="shared" si="19"/>
        <v>54.6</v>
      </c>
      <c r="U67" s="120">
        <f t="shared" si="19"/>
        <v>54.1</v>
      </c>
      <c r="V67" s="121">
        <f t="shared" si="19"/>
        <v>53</v>
      </c>
      <c r="W67" s="263">
        <f>SUM(W60:W66)</f>
        <v>1029.9000000000001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24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156.18744313011828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156.18744313011831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156.02240896358546</v>
      </c>
      <c r="S72" s="38">
        <f t="shared" si="22"/>
        <v>156.12244897959184</v>
      </c>
      <c r="T72" s="38">
        <f t="shared" si="22"/>
        <v>156</v>
      </c>
      <c r="U72" s="38">
        <f t="shared" si="22"/>
        <v>154.57142857142858</v>
      </c>
      <c r="V72" s="39">
        <f t="shared" si="22"/>
        <v>154.51895043731781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-3.6999999999999034E-2</v>
      </c>
      <c r="R73" s="42">
        <f t="shared" si="23"/>
        <v>-8.0000000000026716E-3</v>
      </c>
      <c r="S73" s="42">
        <f t="shared" si="23"/>
        <v>-1.2000000000000455E-2</v>
      </c>
      <c r="T73" s="42">
        <f t="shared" si="23"/>
        <v>0</v>
      </c>
      <c r="U73" s="42">
        <f t="shared" si="23"/>
        <v>-2.4999999999998579E-2</v>
      </c>
      <c r="V73" s="42">
        <f t="shared" si="23"/>
        <v>-6.5000000000026148E-3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2.2408963585462516E-2</v>
      </c>
      <c r="S74" s="42">
        <f t="shared" si="23"/>
        <v>0.12244897959183731</v>
      </c>
      <c r="T74" s="42">
        <f t="shared" si="23"/>
        <v>0</v>
      </c>
      <c r="U74" s="42">
        <f t="shared" si="23"/>
        <v>7.1428571428583609E-2</v>
      </c>
      <c r="V74" s="42">
        <f t="shared" si="23"/>
        <v>1.895043731781243E-2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59"/>
  <dimension ref="A1:Y237"/>
  <sheetViews>
    <sheetView topLeftCell="A26" zoomScale="29" zoomScaleNormal="25" workbookViewId="0">
      <selection activeCell="O48" sqref="O48:T4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42</v>
      </c>
      <c r="Q11" s="1022"/>
      <c r="R11" s="6"/>
      <c r="S11" s="1" t="s">
        <v>6</v>
      </c>
      <c r="T11" s="95">
        <v>45675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</v>
      </c>
      <c r="C18" s="282">
        <v>90.3</v>
      </c>
      <c r="D18" s="282">
        <v>89.2</v>
      </c>
      <c r="E18" s="282">
        <v>23</v>
      </c>
      <c r="F18" s="282">
        <v>91.1</v>
      </c>
      <c r="G18" s="282">
        <v>88.7</v>
      </c>
      <c r="H18" s="284">
        <v>91.6</v>
      </c>
      <c r="I18" s="285">
        <v>95.1</v>
      </c>
      <c r="J18" s="282">
        <v>93.9</v>
      </c>
      <c r="K18" s="282">
        <v>95.4</v>
      </c>
      <c r="L18" s="282">
        <v>26.1</v>
      </c>
      <c r="M18" s="282">
        <v>94.9</v>
      </c>
      <c r="N18" s="282">
        <v>95.7</v>
      </c>
      <c r="O18" s="282">
        <v>95.4</v>
      </c>
      <c r="P18" s="281">
        <v>95.5</v>
      </c>
      <c r="Q18" s="282">
        <v>96.8</v>
      </c>
      <c r="R18" s="282">
        <v>94.9</v>
      </c>
      <c r="S18" s="282">
        <v>23.7</v>
      </c>
      <c r="T18" s="282">
        <v>96.2</v>
      </c>
      <c r="U18" s="282">
        <v>94.9</v>
      </c>
      <c r="V18" s="284">
        <v>95.1</v>
      </c>
      <c r="W18" s="596">
        <f t="shared" ref="W18:W24" si="0">SUM(B18:V18)</f>
        <v>1757.5000000000002</v>
      </c>
    </row>
    <row r="19" spans="1:25" ht="39.950000000000003" customHeight="1" x14ac:dyDescent="0.25">
      <c r="A19" s="146" t="s">
        <v>24</v>
      </c>
      <c r="B19" s="281">
        <v>90</v>
      </c>
      <c r="C19" s="282">
        <v>90.3</v>
      </c>
      <c r="D19" s="282">
        <v>89.2</v>
      </c>
      <c r="E19" s="282">
        <v>23</v>
      </c>
      <c r="F19" s="282">
        <v>91.1</v>
      </c>
      <c r="G19" s="282">
        <v>88.7</v>
      </c>
      <c r="H19" s="284">
        <v>91.6</v>
      </c>
      <c r="I19" s="285">
        <v>95</v>
      </c>
      <c r="J19" s="282">
        <v>93.9</v>
      </c>
      <c r="K19" s="282">
        <v>95.5</v>
      </c>
      <c r="L19" s="282">
        <v>26</v>
      </c>
      <c r="M19" s="282">
        <v>94.9</v>
      </c>
      <c r="N19" s="282">
        <v>95.7</v>
      </c>
      <c r="O19" s="282">
        <v>95.5</v>
      </c>
      <c r="P19" s="281">
        <v>95.5</v>
      </c>
      <c r="Q19" s="282">
        <v>96.8</v>
      </c>
      <c r="R19" s="282">
        <v>94.9</v>
      </c>
      <c r="S19" s="282">
        <v>23.7</v>
      </c>
      <c r="T19" s="282">
        <v>96.2</v>
      </c>
      <c r="U19" s="282">
        <v>94.9</v>
      </c>
      <c r="V19" s="284">
        <v>95</v>
      </c>
      <c r="W19" s="538">
        <f>SUM(B19:V19)</f>
        <v>1757.4</v>
      </c>
    </row>
    <row r="20" spans="1:25" ht="39.75" customHeight="1" x14ac:dyDescent="0.25">
      <c r="A20" s="146" t="s">
        <v>20</v>
      </c>
      <c r="B20" s="281">
        <v>90</v>
      </c>
      <c r="C20" s="282">
        <v>90.3</v>
      </c>
      <c r="D20" s="282">
        <v>89.2</v>
      </c>
      <c r="E20" s="282">
        <v>22.8</v>
      </c>
      <c r="F20" s="282">
        <v>91.1</v>
      </c>
      <c r="G20" s="282">
        <v>88.7</v>
      </c>
      <c r="H20" s="284">
        <v>91.5</v>
      </c>
      <c r="I20" s="285">
        <v>95</v>
      </c>
      <c r="J20" s="282">
        <v>93.9</v>
      </c>
      <c r="K20" s="282">
        <v>95.5</v>
      </c>
      <c r="L20" s="282">
        <v>25.8</v>
      </c>
      <c r="M20" s="282">
        <v>94.9</v>
      </c>
      <c r="N20" s="282">
        <v>95.7</v>
      </c>
      <c r="O20" s="282">
        <v>95.5</v>
      </c>
      <c r="P20" s="281">
        <v>95.5</v>
      </c>
      <c r="Q20" s="282">
        <v>96.8</v>
      </c>
      <c r="R20" s="282">
        <v>94.9</v>
      </c>
      <c r="S20" s="282">
        <v>23.6</v>
      </c>
      <c r="T20" s="282">
        <v>96.1</v>
      </c>
      <c r="U20" s="282">
        <v>94.9</v>
      </c>
      <c r="V20" s="284">
        <v>95</v>
      </c>
      <c r="W20" s="538">
        <f t="shared" si="0"/>
        <v>1756.6999999999998</v>
      </c>
    </row>
    <row r="21" spans="1:25" ht="39.950000000000003" customHeight="1" x14ac:dyDescent="0.25">
      <c r="A21" s="146" t="s">
        <v>28</v>
      </c>
      <c r="B21" s="485">
        <v>89.9</v>
      </c>
      <c r="C21" s="486">
        <v>90.3</v>
      </c>
      <c r="D21" s="486">
        <v>89.1</v>
      </c>
      <c r="E21" s="486">
        <v>22.3</v>
      </c>
      <c r="F21" s="486">
        <v>91</v>
      </c>
      <c r="G21" s="486">
        <v>88.1</v>
      </c>
      <c r="H21" s="499">
        <v>91.5</v>
      </c>
      <c r="I21" s="456">
        <v>94.8</v>
      </c>
      <c r="J21" s="486">
        <v>93.9</v>
      </c>
      <c r="K21" s="486">
        <v>95.3</v>
      </c>
      <c r="L21" s="486">
        <v>25.5</v>
      </c>
      <c r="M21" s="486">
        <v>94.9</v>
      </c>
      <c r="N21" s="486">
        <v>95.1</v>
      </c>
      <c r="O21" s="486">
        <v>95.5</v>
      </c>
      <c r="P21" s="485">
        <v>95.2</v>
      </c>
      <c r="Q21" s="486">
        <v>96.8</v>
      </c>
      <c r="R21" s="486">
        <v>94.6</v>
      </c>
      <c r="S21" s="486">
        <v>23.1</v>
      </c>
      <c r="T21" s="486">
        <v>96.1</v>
      </c>
      <c r="U21" s="486">
        <v>94.9</v>
      </c>
      <c r="V21" s="499">
        <v>95</v>
      </c>
      <c r="W21" s="538">
        <f t="shared" si="0"/>
        <v>1752.8999999999996</v>
      </c>
    </row>
    <row r="22" spans="1:25" ht="39.950000000000003" customHeight="1" x14ac:dyDescent="0.25">
      <c r="A22" s="146" t="s">
        <v>21</v>
      </c>
      <c r="B22" s="281">
        <v>89.9</v>
      </c>
      <c r="C22" s="282">
        <v>90.2</v>
      </c>
      <c r="D22" s="282">
        <v>89.1</v>
      </c>
      <c r="E22" s="486">
        <v>22.3</v>
      </c>
      <c r="F22" s="282">
        <v>90.7</v>
      </c>
      <c r="G22" s="486">
        <v>88.1</v>
      </c>
      <c r="H22" s="284">
        <v>91.5</v>
      </c>
      <c r="I22" s="456">
        <v>94.7</v>
      </c>
      <c r="J22" s="282">
        <v>93.9</v>
      </c>
      <c r="K22" s="486">
        <v>95.3</v>
      </c>
      <c r="L22" s="486">
        <v>25.5</v>
      </c>
      <c r="M22" s="282">
        <v>94.5</v>
      </c>
      <c r="N22" s="486">
        <v>95.1</v>
      </c>
      <c r="O22" s="282">
        <v>95.2</v>
      </c>
      <c r="P22" s="485">
        <v>95.2</v>
      </c>
      <c r="Q22" s="282">
        <v>96.7</v>
      </c>
      <c r="R22" s="486">
        <v>94.6</v>
      </c>
      <c r="S22" s="486">
        <v>23.1</v>
      </c>
      <c r="T22" s="282">
        <v>96.1</v>
      </c>
      <c r="U22" s="282">
        <v>94.8</v>
      </c>
      <c r="V22" s="284">
        <v>95</v>
      </c>
      <c r="W22" s="538">
        <f t="shared" si="0"/>
        <v>1751.4999999999998</v>
      </c>
    </row>
    <row r="23" spans="1:25" ht="39.950000000000003" customHeight="1" x14ac:dyDescent="0.25">
      <c r="A23" s="146" t="s">
        <v>22</v>
      </c>
      <c r="B23" s="281">
        <v>89.9</v>
      </c>
      <c r="C23" s="282">
        <v>90.2</v>
      </c>
      <c r="D23" s="282">
        <v>89.1</v>
      </c>
      <c r="E23" s="486">
        <v>22.3</v>
      </c>
      <c r="F23" s="282">
        <v>90.6</v>
      </c>
      <c r="G23" s="486">
        <v>88.1</v>
      </c>
      <c r="H23" s="284">
        <v>91.5</v>
      </c>
      <c r="I23" s="456">
        <v>94.7</v>
      </c>
      <c r="J23" s="282">
        <v>93.9</v>
      </c>
      <c r="K23" s="486">
        <v>95.3</v>
      </c>
      <c r="L23" s="486">
        <v>25.5</v>
      </c>
      <c r="M23" s="282">
        <v>94.4</v>
      </c>
      <c r="N23" s="486">
        <v>95</v>
      </c>
      <c r="O23" s="282">
        <v>95.2</v>
      </c>
      <c r="P23" s="485">
        <v>95.2</v>
      </c>
      <c r="Q23" s="282">
        <v>96.7</v>
      </c>
      <c r="R23" s="486">
        <v>94.5</v>
      </c>
      <c r="S23" s="486">
        <v>23</v>
      </c>
      <c r="T23" s="282">
        <v>96.1</v>
      </c>
      <c r="U23" s="282">
        <v>94.8</v>
      </c>
      <c r="V23" s="284">
        <v>95</v>
      </c>
      <c r="W23" s="98">
        <f t="shared" si="0"/>
        <v>1751</v>
      </c>
    </row>
    <row r="24" spans="1:25" ht="39.950000000000003" customHeight="1" thickBot="1" x14ac:dyDescent="0.3">
      <c r="A24" s="146" t="s">
        <v>23</v>
      </c>
      <c r="B24" s="281">
        <v>89.9</v>
      </c>
      <c r="C24" s="282">
        <v>90.2</v>
      </c>
      <c r="D24" s="282">
        <v>89.1</v>
      </c>
      <c r="E24" s="486">
        <v>22</v>
      </c>
      <c r="F24" s="282">
        <v>90.6</v>
      </c>
      <c r="G24" s="486">
        <v>88.1</v>
      </c>
      <c r="H24" s="284">
        <v>91.5</v>
      </c>
      <c r="I24" s="456">
        <v>94.7</v>
      </c>
      <c r="J24" s="282">
        <v>93.9</v>
      </c>
      <c r="K24" s="486">
        <v>95</v>
      </c>
      <c r="L24" s="486">
        <v>25.5</v>
      </c>
      <c r="M24" s="282">
        <v>94.4</v>
      </c>
      <c r="N24" s="486">
        <v>95</v>
      </c>
      <c r="O24" s="282">
        <v>95</v>
      </c>
      <c r="P24" s="485">
        <v>95.2</v>
      </c>
      <c r="Q24" s="282">
        <v>96.7</v>
      </c>
      <c r="R24" s="486">
        <v>94.5</v>
      </c>
      <c r="S24" s="486">
        <v>23</v>
      </c>
      <c r="T24" s="282">
        <v>96.1</v>
      </c>
      <c r="U24" s="282">
        <v>94.8</v>
      </c>
      <c r="V24" s="284">
        <v>95</v>
      </c>
      <c r="W24" s="98">
        <f t="shared" si="0"/>
        <v>1750.2</v>
      </c>
    </row>
    <row r="25" spans="1:25" ht="41.45" customHeight="1" x14ac:dyDescent="0.25">
      <c r="A25" s="182" t="s">
        <v>9</v>
      </c>
      <c r="B25" s="122">
        <f>SUM(B18:B24)</f>
        <v>629.59999999999991</v>
      </c>
      <c r="C25" s="120">
        <f>SUM(C18:C24)</f>
        <v>631.80000000000007</v>
      </c>
      <c r="D25" s="120">
        <f t="shared" ref="D25:V25" si="1">SUM(D18:D24)</f>
        <v>624.00000000000011</v>
      </c>
      <c r="E25" s="120">
        <f>SUM(E18:E24)</f>
        <v>157.69999999999999</v>
      </c>
      <c r="F25" s="120">
        <f t="shared" si="1"/>
        <v>636.19999999999993</v>
      </c>
      <c r="G25" s="120">
        <f t="shared" si="1"/>
        <v>618.50000000000011</v>
      </c>
      <c r="H25" s="121">
        <f t="shared" si="1"/>
        <v>640.70000000000005</v>
      </c>
      <c r="I25" s="122">
        <f t="shared" si="1"/>
        <v>664.00000000000011</v>
      </c>
      <c r="J25" s="120">
        <f t="shared" si="1"/>
        <v>657.3</v>
      </c>
      <c r="K25" s="120">
        <f t="shared" si="1"/>
        <v>667.3</v>
      </c>
      <c r="L25" s="120">
        <f t="shared" si="1"/>
        <v>179.9</v>
      </c>
      <c r="M25" s="120">
        <f t="shared" si="1"/>
        <v>662.9</v>
      </c>
      <c r="N25" s="120">
        <f t="shared" si="1"/>
        <v>667.30000000000007</v>
      </c>
      <c r="O25" s="121">
        <f t="shared" si="1"/>
        <v>667.3</v>
      </c>
      <c r="P25" s="122">
        <f t="shared" si="1"/>
        <v>667.30000000000007</v>
      </c>
      <c r="Q25" s="120">
        <f t="shared" si="1"/>
        <v>677.30000000000007</v>
      </c>
      <c r="R25" s="120">
        <f t="shared" si="1"/>
        <v>662.90000000000009</v>
      </c>
      <c r="S25" s="120">
        <f>SUM(S18:S24)</f>
        <v>163.19999999999999</v>
      </c>
      <c r="T25" s="120">
        <f t="shared" si="1"/>
        <v>672.90000000000009</v>
      </c>
      <c r="U25" s="120">
        <f t="shared" si="1"/>
        <v>664</v>
      </c>
      <c r="V25" s="121">
        <f t="shared" si="1"/>
        <v>665.1</v>
      </c>
      <c r="W25" s="361">
        <f>SUM(W18:W24)</f>
        <v>12277.2</v>
      </c>
    </row>
    <row r="26" spans="1:25" s="2" customFormat="1" ht="36.75" customHeight="1" x14ac:dyDescent="0.25">
      <c r="A26" s="148" t="s">
        <v>11</v>
      </c>
      <c r="B26" s="487">
        <v>158.61999999999989</v>
      </c>
      <c r="C26" s="487">
        <v>158.61999999999989</v>
      </c>
      <c r="D26" s="487">
        <v>158.61999999999989</v>
      </c>
      <c r="E26" s="487">
        <v>158.61999999999989</v>
      </c>
      <c r="F26" s="487">
        <v>158.61999999999989</v>
      </c>
      <c r="G26" s="487">
        <v>158.61999999999989</v>
      </c>
      <c r="H26" s="487">
        <v>158.61999999999989</v>
      </c>
      <c r="I26" s="487">
        <v>158.61999999999989</v>
      </c>
      <c r="J26" s="487">
        <v>158.61999999999989</v>
      </c>
      <c r="K26" s="487">
        <v>158.61999999999989</v>
      </c>
      <c r="L26" s="487">
        <v>158.61999999999989</v>
      </c>
      <c r="M26" s="487">
        <v>158.61999999999989</v>
      </c>
      <c r="N26" s="487">
        <v>158.61999999999989</v>
      </c>
      <c r="O26" s="487">
        <v>158.61999999999989</v>
      </c>
      <c r="P26" s="487">
        <v>158.61999999999989</v>
      </c>
      <c r="Q26" s="487">
        <v>158.61999999999989</v>
      </c>
      <c r="R26" s="487">
        <v>158.61999999999989</v>
      </c>
      <c r="S26" s="487">
        <v>158.61999999999989</v>
      </c>
      <c r="T26" s="487">
        <v>158.61999999999989</v>
      </c>
      <c r="U26" s="487">
        <v>158.61999999999989</v>
      </c>
      <c r="V26" s="487">
        <v>158.61999999999989</v>
      </c>
      <c r="W26" s="99">
        <f>((W25/W27)/7)*1000</f>
        <v>158.89524499779981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89.937539999999927</v>
      </c>
      <c r="C28" s="30">
        <f t="shared" ref="C28:V28" si="2">(((((C26*7)*C27)/1000))/7)</f>
        <v>90.096159999999941</v>
      </c>
      <c r="D28" s="30">
        <f t="shared" si="2"/>
        <v>89.144439999999946</v>
      </c>
      <c r="E28" s="30">
        <f t="shared" si="2"/>
        <v>22.365419999999983</v>
      </c>
      <c r="F28" s="30">
        <f t="shared" si="2"/>
        <v>90.730639999999923</v>
      </c>
      <c r="G28" s="30">
        <f t="shared" si="2"/>
        <v>88.351339999999936</v>
      </c>
      <c r="H28" s="30">
        <f t="shared" si="2"/>
        <v>91.365119999999948</v>
      </c>
      <c r="I28" s="30">
        <f t="shared" si="2"/>
        <v>94.854759999999942</v>
      </c>
      <c r="J28" s="30">
        <f t="shared" si="2"/>
        <v>93.744419999999948</v>
      </c>
      <c r="K28" s="30">
        <f t="shared" si="2"/>
        <v>95.330619999999925</v>
      </c>
      <c r="L28" s="30">
        <f t="shared" si="2"/>
        <v>25.220579999999984</v>
      </c>
      <c r="M28" s="30">
        <f t="shared" si="2"/>
        <v>94.378899999999945</v>
      </c>
      <c r="N28" s="30">
        <f t="shared" si="2"/>
        <v>95.171999999999926</v>
      </c>
      <c r="O28" s="30">
        <f t="shared" si="2"/>
        <v>95.013379999999941</v>
      </c>
      <c r="P28" s="30">
        <f t="shared" si="2"/>
        <v>95.330619999999925</v>
      </c>
      <c r="Q28" s="30">
        <f t="shared" si="2"/>
        <v>96.440959999999933</v>
      </c>
      <c r="R28" s="30">
        <f t="shared" si="2"/>
        <v>94.696139999999929</v>
      </c>
      <c r="S28" s="30">
        <f t="shared" si="2"/>
        <v>22.682659999999981</v>
      </c>
      <c r="T28" s="30">
        <f t="shared" si="2"/>
        <v>96.123719999999935</v>
      </c>
      <c r="U28" s="30">
        <f t="shared" si="2"/>
        <v>94.854759999999942</v>
      </c>
      <c r="V28" s="30">
        <f t="shared" si="2"/>
        <v>95.013379999999941</v>
      </c>
      <c r="W28" s="362">
        <f>((W25*1000)/7)/W27</f>
        <v>158.89524499779981</v>
      </c>
    </row>
    <row r="29" spans="1:25" ht="33.75" customHeight="1" x14ac:dyDescent="0.25">
      <c r="A29" s="151" t="s">
        <v>14</v>
      </c>
      <c r="B29" s="281">
        <f>((B27*B26)*7)/1000</f>
        <v>629.56277999999952</v>
      </c>
      <c r="C29" s="282">
        <f>((C27*C26)*7)/1000</f>
        <v>630.6731199999997</v>
      </c>
      <c r="D29" s="282">
        <f t="shared" ref="D29:V29" si="3">((D27*D26)*7)/1000</f>
        <v>624.01107999999965</v>
      </c>
      <c r="E29" s="282">
        <f t="shared" si="3"/>
        <v>156.55793999999989</v>
      </c>
      <c r="F29" s="282">
        <f t="shared" si="3"/>
        <v>635.11447999999962</v>
      </c>
      <c r="G29" s="282">
        <f t="shared" si="3"/>
        <v>618.45937999999956</v>
      </c>
      <c r="H29" s="284">
        <f t="shared" si="3"/>
        <v>639.55583999999965</v>
      </c>
      <c r="I29" s="281">
        <f t="shared" si="3"/>
        <v>663.98331999999959</v>
      </c>
      <c r="J29" s="282">
        <f t="shared" si="3"/>
        <v>656.2109399999996</v>
      </c>
      <c r="K29" s="282">
        <f t="shared" si="3"/>
        <v>667.31433999999967</v>
      </c>
      <c r="L29" s="282">
        <f t="shared" si="3"/>
        <v>176.54405999999989</v>
      </c>
      <c r="M29" s="282">
        <f t="shared" si="3"/>
        <v>660.65229999999963</v>
      </c>
      <c r="N29" s="282">
        <f t="shared" si="3"/>
        <v>666.2039999999995</v>
      </c>
      <c r="O29" s="284">
        <f t="shared" si="3"/>
        <v>665.09365999999955</v>
      </c>
      <c r="P29" s="281">
        <f t="shared" si="3"/>
        <v>667.31433999999967</v>
      </c>
      <c r="Q29" s="282">
        <f t="shared" si="3"/>
        <v>675.08671999999956</v>
      </c>
      <c r="R29" s="282">
        <f t="shared" si="3"/>
        <v>662.87297999999964</v>
      </c>
      <c r="S29" s="282">
        <f t="shared" si="3"/>
        <v>158.7786199999999</v>
      </c>
      <c r="T29" s="282">
        <f t="shared" si="3"/>
        <v>672.86603999999943</v>
      </c>
      <c r="U29" s="282">
        <f t="shared" si="3"/>
        <v>663.98331999999959</v>
      </c>
      <c r="V29" s="284">
        <f t="shared" si="3"/>
        <v>665.09365999999955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158.62937767699668</v>
      </c>
      <c r="C30" s="38">
        <f t="shared" ref="C30:V30" si="4">+(C25/C27)/7*1000</f>
        <v>158.90342052313883</v>
      </c>
      <c r="D30" s="38">
        <f t="shared" si="4"/>
        <v>158.61718352821558</v>
      </c>
      <c r="E30" s="38">
        <f t="shared" si="4"/>
        <v>159.77710233029381</v>
      </c>
      <c r="F30" s="38">
        <f t="shared" si="4"/>
        <v>158.89110889110887</v>
      </c>
      <c r="G30" s="38">
        <f t="shared" si="4"/>
        <v>158.6304180559118</v>
      </c>
      <c r="H30" s="39">
        <f t="shared" si="4"/>
        <v>158.90376984126985</v>
      </c>
      <c r="I30" s="37">
        <f t="shared" si="4"/>
        <v>158.62398471094124</v>
      </c>
      <c r="J30" s="38">
        <f t="shared" si="4"/>
        <v>158.88324873096443</v>
      </c>
      <c r="K30" s="38">
        <f t="shared" si="4"/>
        <v>158.61659139529354</v>
      </c>
      <c r="L30" s="38">
        <f t="shared" si="4"/>
        <v>161.63522012578619</v>
      </c>
      <c r="M30" s="38">
        <f t="shared" si="4"/>
        <v>159.15966386554621</v>
      </c>
      <c r="N30" s="38">
        <f t="shared" si="4"/>
        <v>158.88095238095241</v>
      </c>
      <c r="O30" s="39">
        <f t="shared" si="4"/>
        <v>159.14619604102074</v>
      </c>
      <c r="P30" s="37">
        <f t="shared" si="4"/>
        <v>158.61659139529357</v>
      </c>
      <c r="Q30" s="38">
        <f t="shared" si="4"/>
        <v>159.14003759398494</v>
      </c>
      <c r="R30" s="38">
        <f t="shared" si="4"/>
        <v>158.62646566164156</v>
      </c>
      <c r="S30" s="38">
        <f t="shared" si="4"/>
        <v>163.03696303696302</v>
      </c>
      <c r="T30" s="38">
        <f t="shared" si="4"/>
        <v>158.62800565770866</v>
      </c>
      <c r="U30" s="38">
        <f t="shared" si="4"/>
        <v>158.62398471094122</v>
      </c>
      <c r="V30" s="39">
        <f t="shared" si="4"/>
        <v>158.62151204388266</v>
      </c>
      <c r="W30" s="40"/>
    </row>
    <row r="31" spans="1:25" ht="33.75" customHeight="1" x14ac:dyDescent="0.25">
      <c r="A31" s="41"/>
      <c r="B31" s="42">
        <f>B29-B25</f>
        <v>-3.7220000000388609E-2</v>
      </c>
      <c r="C31" s="42">
        <f t="shared" ref="C31:V32" si="5">C29-C25</f>
        <v>-1.1268800000003694</v>
      </c>
      <c r="D31" s="42">
        <f t="shared" si="5"/>
        <v>1.1079999999537904E-2</v>
      </c>
      <c r="E31" s="42">
        <f t="shared" si="5"/>
        <v>-1.1420600000001002</v>
      </c>
      <c r="F31" s="42">
        <f t="shared" si="5"/>
        <v>-1.0855200000003151</v>
      </c>
      <c r="G31" s="42">
        <f t="shared" si="5"/>
        <v>-4.0620000000558321E-2</v>
      </c>
      <c r="H31" s="42">
        <f t="shared" si="5"/>
        <v>-1.1441600000003973</v>
      </c>
      <c r="I31" s="42">
        <f t="shared" si="5"/>
        <v>-1.6680000000519613E-2</v>
      </c>
      <c r="J31" s="42">
        <f t="shared" si="5"/>
        <v>-1.0890600000003587</v>
      </c>
      <c r="K31" s="42">
        <f t="shared" si="5"/>
        <v>1.4339999999720021E-2</v>
      </c>
      <c r="L31" s="42">
        <f t="shared" si="5"/>
        <v>-3.3559400000001176</v>
      </c>
      <c r="M31" s="42">
        <f t="shared" si="5"/>
        <v>-2.24770000000035</v>
      </c>
      <c r="N31" s="42">
        <f t="shared" si="5"/>
        <v>-1.0960000000005721</v>
      </c>
      <c r="O31" s="42">
        <f t="shared" si="5"/>
        <v>-2.2063400000004094</v>
      </c>
      <c r="P31" s="42">
        <f t="shared" si="5"/>
        <v>1.4339999999606334E-2</v>
      </c>
      <c r="Q31" s="42">
        <f t="shared" si="5"/>
        <v>-2.2132800000005091</v>
      </c>
      <c r="R31" s="42">
        <f t="shared" si="5"/>
        <v>-2.7020000000447908E-2</v>
      </c>
      <c r="S31" s="42">
        <f t="shared" si="5"/>
        <v>-4.4213800000000845</v>
      </c>
      <c r="T31" s="42">
        <f t="shared" si="5"/>
        <v>-3.3960000000661239E-2</v>
      </c>
      <c r="U31" s="42">
        <f t="shared" si="5"/>
        <v>-1.6680000000405926E-2</v>
      </c>
      <c r="V31" s="42">
        <f t="shared" si="5"/>
        <v>-6.3400000004776302E-3</v>
      </c>
      <c r="W31" s="42"/>
      <c r="X31" s="42"/>
    </row>
    <row r="32" spans="1:25" ht="33.75" customHeight="1" x14ac:dyDescent="0.25">
      <c r="A32" s="41"/>
      <c r="B32" s="42">
        <f>B30-B26</f>
        <v>9.3776769967917062E-3</v>
      </c>
      <c r="C32" s="42">
        <f t="shared" si="5"/>
        <v>0.28342052313894328</v>
      </c>
      <c r="D32" s="42">
        <f t="shared" si="5"/>
        <v>-2.8164717843139897E-3</v>
      </c>
      <c r="E32" s="42">
        <f t="shared" si="5"/>
        <v>1.1571023302939238</v>
      </c>
      <c r="F32" s="42">
        <f t="shared" si="5"/>
        <v>0.27110889110898029</v>
      </c>
      <c r="G32" s="42">
        <f t="shared" si="5"/>
        <v>1.0418055911912916E-2</v>
      </c>
      <c r="H32" s="42">
        <f t="shared" si="5"/>
        <v>0.28376984126995808</v>
      </c>
      <c r="I32" s="42">
        <f t="shared" si="5"/>
        <v>3.9847109413528869E-3</v>
      </c>
      <c r="J32" s="42">
        <f t="shared" si="5"/>
        <v>0.26324873096453416</v>
      </c>
      <c r="K32" s="42">
        <f t="shared" si="5"/>
        <v>-3.4086047063510705E-3</v>
      </c>
      <c r="L32" s="42">
        <f t="shared" si="5"/>
        <v>3.0152201257862998</v>
      </c>
      <c r="M32" s="42">
        <f t="shared" si="5"/>
        <v>0.5396638655463164</v>
      </c>
      <c r="N32" s="42">
        <f t="shared" si="5"/>
        <v>0.26095238095251716</v>
      </c>
      <c r="O32" s="42">
        <f t="shared" si="5"/>
        <v>0.52619604102085304</v>
      </c>
      <c r="P32" s="42">
        <f t="shared" si="5"/>
        <v>-3.4086047063226488E-3</v>
      </c>
      <c r="Q32" s="42">
        <f>Q30-Q26</f>
        <v>0.52003759398505167</v>
      </c>
      <c r="R32" s="42">
        <f t="shared" si="5"/>
        <v>6.4656616416698398E-3</v>
      </c>
      <c r="S32" s="42">
        <f t="shared" si="5"/>
        <v>4.416963036963125</v>
      </c>
      <c r="T32" s="42">
        <f t="shared" si="5"/>
        <v>8.0056577087646019E-3</v>
      </c>
      <c r="U32" s="42">
        <f t="shared" si="5"/>
        <v>3.9847109413244652E-3</v>
      </c>
      <c r="V32" s="42">
        <f t="shared" si="5"/>
        <v>1.5120438827693761E-3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86</v>
      </c>
      <c r="C39" s="282">
        <v>86.2</v>
      </c>
      <c r="D39" s="282">
        <v>17.2</v>
      </c>
      <c r="E39" s="282">
        <v>89.5</v>
      </c>
      <c r="F39" s="282">
        <v>88.4</v>
      </c>
      <c r="G39" s="284">
        <v>90.1</v>
      </c>
      <c r="H39" s="540">
        <f t="shared" ref="H39:H46" si="6">SUM(B39:G39)</f>
        <v>457.4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86</v>
      </c>
      <c r="C40" s="282">
        <v>86.2</v>
      </c>
      <c r="D40" s="282">
        <v>17.2</v>
      </c>
      <c r="E40" s="282">
        <v>89.4</v>
      </c>
      <c r="F40" s="282">
        <v>88.3</v>
      </c>
      <c r="G40" s="284">
        <v>90.1</v>
      </c>
      <c r="H40" s="539">
        <f t="shared" si="6"/>
        <v>457.19999999999993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539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86</v>
      </c>
      <c r="C41" s="282">
        <v>86.1</v>
      </c>
      <c r="D41" s="282">
        <v>17</v>
      </c>
      <c r="E41" s="282">
        <v>89.2</v>
      </c>
      <c r="F41" s="282">
        <v>88.3</v>
      </c>
      <c r="G41" s="284">
        <v>90.1</v>
      </c>
      <c r="H41" s="539">
        <f t="shared" si="6"/>
        <v>456.70000000000005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539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485">
        <v>86</v>
      </c>
      <c r="C42" s="486">
        <v>85.9</v>
      </c>
      <c r="D42" s="486">
        <v>16.5</v>
      </c>
      <c r="E42" s="486">
        <v>88.9</v>
      </c>
      <c r="F42" s="486">
        <v>88.3</v>
      </c>
      <c r="G42" s="499">
        <v>89.5</v>
      </c>
      <c r="H42" s="539">
        <f t="shared" si="6"/>
        <v>455.1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7</v>
      </c>
      <c r="S42" s="282">
        <v>6.4</v>
      </c>
      <c r="T42" s="282">
        <v>6.9</v>
      </c>
      <c r="U42" s="539">
        <f t="shared" si="7"/>
        <v>34.6</v>
      </c>
      <c r="V42" s="49"/>
      <c r="W42" s="48"/>
    </row>
    <row r="43" spans="1:25" ht="33.75" customHeight="1" x14ac:dyDescent="0.25">
      <c r="A43" s="146" t="s">
        <v>21</v>
      </c>
      <c r="B43" s="281">
        <v>85.6</v>
      </c>
      <c r="C43" s="486">
        <v>85.8</v>
      </c>
      <c r="D43" s="486">
        <v>16.399999999999999</v>
      </c>
      <c r="E43" s="486">
        <v>88.9</v>
      </c>
      <c r="F43" s="282">
        <v>88</v>
      </c>
      <c r="G43" s="499">
        <v>89.5</v>
      </c>
      <c r="H43" s="539">
        <f t="shared" si="6"/>
        <v>454.2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6.9</v>
      </c>
      <c r="S43" s="282">
        <v>6.4</v>
      </c>
      <c r="T43" s="282">
        <v>6.9</v>
      </c>
      <c r="U43" s="539">
        <f t="shared" si="7"/>
        <v>34.6</v>
      </c>
      <c r="V43" s="49"/>
      <c r="W43" s="48"/>
    </row>
    <row r="44" spans="1:25" ht="33.75" customHeight="1" x14ac:dyDescent="0.25">
      <c r="A44" s="146" t="s">
        <v>22</v>
      </c>
      <c r="B44" s="281">
        <v>85.6</v>
      </c>
      <c r="C44" s="486">
        <v>85.8</v>
      </c>
      <c r="D44" s="486">
        <v>16.399999999999999</v>
      </c>
      <c r="E44" s="486">
        <v>88.9</v>
      </c>
      <c r="F44" s="282">
        <v>88</v>
      </c>
      <c r="G44" s="499">
        <v>89.4</v>
      </c>
      <c r="H44" s="264">
        <f t="shared" si="6"/>
        <v>454.1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6.9</v>
      </c>
      <c r="S44" s="282">
        <v>6.5</v>
      </c>
      <c r="T44" s="282">
        <v>6.9</v>
      </c>
      <c r="U44" s="264">
        <f t="shared" si="7"/>
        <v>34.700000000000003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85.5</v>
      </c>
      <c r="C45" s="486">
        <v>85.8</v>
      </c>
      <c r="D45" s="486">
        <v>16.399999999999999</v>
      </c>
      <c r="E45" s="486">
        <v>88.9</v>
      </c>
      <c r="F45" s="282">
        <v>87.9</v>
      </c>
      <c r="G45" s="499">
        <v>89.4</v>
      </c>
      <c r="H45" s="265">
        <f t="shared" si="6"/>
        <v>453.9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6.9</v>
      </c>
      <c r="S45" s="282">
        <v>6.5</v>
      </c>
      <c r="T45" s="282">
        <v>6.9</v>
      </c>
      <c r="U45" s="264">
        <f t="shared" si="7"/>
        <v>34.700000000000003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600.70000000000005</v>
      </c>
      <c r="C46" s="120">
        <f t="shared" si="8"/>
        <v>601.79999999999995</v>
      </c>
      <c r="D46" s="120">
        <f t="shared" si="8"/>
        <v>117.10000000000002</v>
      </c>
      <c r="E46" s="120">
        <f t="shared" si="8"/>
        <v>623.69999999999993</v>
      </c>
      <c r="F46" s="120">
        <f t="shared" si="8"/>
        <v>617.19999999999993</v>
      </c>
      <c r="G46" s="121">
        <f t="shared" si="8"/>
        <v>628.09999999999991</v>
      </c>
      <c r="H46" s="560">
        <f t="shared" si="6"/>
        <v>3188.5999999999995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48.199999999999996</v>
      </c>
      <c r="S46" s="120">
        <f t="shared" si="9"/>
        <v>47.1</v>
      </c>
      <c r="T46" s="120">
        <f t="shared" si="9"/>
        <v>48.699999999999996</v>
      </c>
      <c r="U46" s="326">
        <f>SUM(O46:T46)</f>
        <v>245.09999999999997</v>
      </c>
      <c r="V46" s="49"/>
      <c r="W46" s="2"/>
    </row>
    <row r="47" spans="1:25" ht="33.75" customHeight="1" x14ac:dyDescent="0.25">
      <c r="A47" s="148" t="s">
        <v>11</v>
      </c>
      <c r="B47" s="555">
        <v>156.31999999999996</v>
      </c>
      <c r="C47" s="555">
        <v>156.31999999999996</v>
      </c>
      <c r="D47" s="555">
        <v>156.31999999999996</v>
      </c>
      <c r="E47" s="555">
        <v>156.31999999999996</v>
      </c>
      <c r="F47" s="555">
        <v>156.31999999999996</v>
      </c>
      <c r="G47" s="555">
        <v>156.31999999999996</v>
      </c>
      <c r="H47" s="234">
        <f>+((H46/H48)/7)*1000</f>
        <v>157.23655012574579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152.90081097941356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85.350719999999995</v>
      </c>
      <c r="C49" s="30">
        <f t="shared" ref="C49:G49" si="10">(((((C47*7)*C48)/1000)/7))</f>
        <v>85.975999999999985</v>
      </c>
      <c r="D49" s="30">
        <f t="shared" si="10"/>
        <v>14.537759999999997</v>
      </c>
      <c r="E49" s="30">
        <f t="shared" si="10"/>
        <v>89.102399999999989</v>
      </c>
      <c r="F49" s="30">
        <f t="shared" si="10"/>
        <v>88.164479999999983</v>
      </c>
      <c r="G49" s="30">
        <f t="shared" si="10"/>
        <v>89.727679999999978</v>
      </c>
      <c r="H49" s="257">
        <f>((H46*1000)/H48)/7</f>
        <v>157.23655012574582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152.90081097941359</v>
      </c>
      <c r="V49" s="192"/>
    </row>
    <row r="50" spans="1:23" ht="33.75" customHeight="1" x14ac:dyDescent="0.25">
      <c r="A50" s="151" t="s">
        <v>14</v>
      </c>
      <c r="B50" s="281">
        <f>((B48*B47)*7)/1000</f>
        <v>597.45503999999994</v>
      </c>
      <c r="C50" s="282">
        <f t="shared" ref="C50:G50" si="12">((C48*C47)*7)/1000</f>
        <v>601.83199999999988</v>
      </c>
      <c r="D50" s="282">
        <f t="shared" si="12"/>
        <v>101.76431999999998</v>
      </c>
      <c r="E50" s="282">
        <f t="shared" si="12"/>
        <v>623.71679999999981</v>
      </c>
      <c r="F50" s="282">
        <f t="shared" si="12"/>
        <v>617.15135999999984</v>
      </c>
      <c r="G50" s="284">
        <f t="shared" si="12"/>
        <v>628.09375999999986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157.16902145473574</v>
      </c>
      <c r="C51" s="38">
        <f t="shared" si="14"/>
        <v>156.31168831168833</v>
      </c>
      <c r="D51" s="38">
        <f t="shared" si="14"/>
        <v>179.8771121351767</v>
      </c>
      <c r="E51" s="38">
        <f t="shared" si="14"/>
        <v>156.31578947368419</v>
      </c>
      <c r="F51" s="38">
        <f t="shared" si="14"/>
        <v>156.33232016210738</v>
      </c>
      <c r="G51" s="39">
        <f t="shared" si="14"/>
        <v>156.32155301144849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156.49350649350649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-3.2449600000001055</v>
      </c>
      <c r="C52" s="42">
        <f t="shared" ref="C52:G53" si="16">C50-C46</f>
        <v>3.1999999999925421E-2</v>
      </c>
      <c r="D52" s="42">
        <f t="shared" si="16"/>
        <v>-15.335680000000039</v>
      </c>
      <c r="E52" s="42">
        <f t="shared" si="16"/>
        <v>1.6799999999875581E-2</v>
      </c>
      <c r="F52" s="42">
        <f t="shared" si="16"/>
        <v>-4.8640000000091277E-2</v>
      </c>
      <c r="G52" s="42">
        <f t="shared" si="16"/>
        <v>-6.2400000000479849E-3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-1.0759999999999934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0.84902145473577662</v>
      </c>
      <c r="C53" s="42">
        <f t="shared" si="16"/>
        <v>-8.3116883116360896E-3</v>
      </c>
      <c r="D53" s="42">
        <f t="shared" si="16"/>
        <v>23.557112135176737</v>
      </c>
      <c r="E53" s="42">
        <f t="shared" si="16"/>
        <v>-4.2105263157736772E-3</v>
      </c>
      <c r="F53" s="42">
        <f t="shared" si="16"/>
        <v>1.232016210741449E-2</v>
      </c>
      <c r="G53" s="42">
        <f t="shared" si="16"/>
        <v>1.5530114485216018E-3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3.4935064935064872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61"/>
      <c r="C54" s="1061"/>
      <c r="D54" s="106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485">
        <v>8</v>
      </c>
      <c r="C62" s="486">
        <v>7.9</v>
      </c>
      <c r="D62" s="486">
        <v>8</v>
      </c>
      <c r="E62" s="486">
        <v>2</v>
      </c>
      <c r="F62" s="486">
        <v>8</v>
      </c>
      <c r="G62" s="486">
        <v>7.4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2.2000000000000002</v>
      </c>
      <c r="T62" s="557">
        <v>7.6</v>
      </c>
      <c r="U62" s="557">
        <v>7.6</v>
      </c>
      <c r="V62" s="558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0"/>
  <dimension ref="A1:Y237"/>
  <sheetViews>
    <sheetView topLeftCell="A12" zoomScale="29" zoomScaleNormal="25" workbookViewId="0">
      <selection activeCell="S29" sqref="S29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44</v>
      </c>
      <c r="Q11" s="1022"/>
      <c r="R11" s="6"/>
      <c r="S11" s="1" t="s">
        <v>6</v>
      </c>
      <c r="T11" s="95">
        <v>45683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89.7</v>
      </c>
      <c r="C18" s="282">
        <v>89.8</v>
      </c>
      <c r="D18" s="282">
        <v>88.9</v>
      </c>
      <c r="E18" s="282">
        <v>22.3</v>
      </c>
      <c r="F18" s="282">
        <v>90.6</v>
      </c>
      <c r="G18" s="282">
        <v>88.1</v>
      </c>
      <c r="H18" s="284">
        <v>91.1</v>
      </c>
      <c r="I18" s="285">
        <v>94.6</v>
      </c>
      <c r="J18" s="282">
        <v>93.5</v>
      </c>
      <c r="K18" s="282">
        <v>95.1</v>
      </c>
      <c r="L18" s="282">
        <v>25.5</v>
      </c>
      <c r="M18" s="282">
        <v>94.2</v>
      </c>
      <c r="N18" s="282">
        <v>94.9</v>
      </c>
      <c r="O18" s="282">
        <v>94.7</v>
      </c>
      <c r="P18" s="281">
        <v>95.1</v>
      </c>
      <c r="Q18" s="282">
        <v>96.3</v>
      </c>
      <c r="R18" s="282">
        <v>94.4</v>
      </c>
      <c r="S18" s="282">
        <v>22.9</v>
      </c>
      <c r="T18" s="282">
        <v>95.9</v>
      </c>
      <c r="U18" s="282">
        <v>94.6</v>
      </c>
      <c r="V18" s="284">
        <v>94.7</v>
      </c>
      <c r="W18" s="595">
        <f t="shared" ref="W18:W24" si="0">SUM(B18:V18)</f>
        <v>1746.9000000000003</v>
      </c>
    </row>
    <row r="19" spans="1:25" ht="39.950000000000003" customHeight="1" x14ac:dyDescent="0.25">
      <c r="A19" s="146" t="s">
        <v>24</v>
      </c>
      <c r="B19" s="281">
        <v>89.7</v>
      </c>
      <c r="C19" s="282">
        <v>89.8</v>
      </c>
      <c r="D19" s="282">
        <v>88.9</v>
      </c>
      <c r="E19" s="282">
        <v>22.3</v>
      </c>
      <c r="F19" s="282">
        <v>90.6</v>
      </c>
      <c r="G19" s="282">
        <v>88.1</v>
      </c>
      <c r="H19" s="284">
        <v>91.1</v>
      </c>
      <c r="I19" s="285">
        <v>94.6</v>
      </c>
      <c r="J19" s="282">
        <v>93.5</v>
      </c>
      <c r="K19" s="282">
        <v>95</v>
      </c>
      <c r="L19" s="282">
        <v>25.5</v>
      </c>
      <c r="M19" s="282">
        <v>94.2</v>
      </c>
      <c r="N19" s="282">
        <v>94.9</v>
      </c>
      <c r="O19" s="282">
        <v>94.7</v>
      </c>
      <c r="P19" s="281">
        <v>95</v>
      </c>
      <c r="Q19" s="282">
        <v>96.3</v>
      </c>
      <c r="R19" s="282">
        <v>94.4</v>
      </c>
      <c r="S19" s="282">
        <v>22.9</v>
      </c>
      <c r="T19" s="282">
        <v>95.8</v>
      </c>
      <c r="U19" s="282">
        <v>94.6</v>
      </c>
      <c r="V19" s="284">
        <v>94.7</v>
      </c>
      <c r="W19" s="98">
        <f>SUM(B19:V19)</f>
        <v>1746.6000000000001</v>
      </c>
    </row>
    <row r="20" spans="1:25" ht="39.75" customHeight="1" x14ac:dyDescent="0.25">
      <c r="A20" s="146" t="s">
        <v>20</v>
      </c>
      <c r="B20" s="281">
        <v>89.7</v>
      </c>
      <c r="C20" s="282">
        <v>89.8</v>
      </c>
      <c r="D20" s="282">
        <v>88.9</v>
      </c>
      <c r="E20" s="282">
        <v>22.3</v>
      </c>
      <c r="F20" s="282">
        <v>90.6</v>
      </c>
      <c r="G20" s="282">
        <v>88.1</v>
      </c>
      <c r="H20" s="284">
        <v>91.1</v>
      </c>
      <c r="I20" s="285">
        <v>94.6</v>
      </c>
      <c r="J20" s="282">
        <v>93.5</v>
      </c>
      <c r="K20" s="282">
        <v>95</v>
      </c>
      <c r="L20" s="282">
        <v>25.5</v>
      </c>
      <c r="M20" s="282">
        <v>94.2</v>
      </c>
      <c r="N20" s="282">
        <v>94.9</v>
      </c>
      <c r="O20" s="282">
        <v>94.7</v>
      </c>
      <c r="P20" s="281">
        <v>95</v>
      </c>
      <c r="Q20" s="282">
        <v>96.3</v>
      </c>
      <c r="R20" s="282">
        <v>94.4</v>
      </c>
      <c r="S20" s="282">
        <v>22.9</v>
      </c>
      <c r="T20" s="282">
        <v>95.8</v>
      </c>
      <c r="U20" s="282">
        <v>94.6</v>
      </c>
      <c r="V20" s="284">
        <v>94.7</v>
      </c>
      <c r="W20" s="98">
        <f t="shared" si="0"/>
        <v>1746.6000000000001</v>
      </c>
    </row>
    <row r="21" spans="1:25" ht="39.950000000000003" customHeight="1" x14ac:dyDescent="0.25">
      <c r="A21" s="146" t="s">
        <v>28</v>
      </c>
      <c r="B21" s="281">
        <v>89.6</v>
      </c>
      <c r="C21" s="282">
        <v>89.8</v>
      </c>
      <c r="D21" s="282">
        <v>88.9</v>
      </c>
      <c r="E21" s="282">
        <v>22.3</v>
      </c>
      <c r="F21" s="282">
        <v>90.3</v>
      </c>
      <c r="G21" s="282">
        <v>88.1</v>
      </c>
      <c r="H21" s="284">
        <v>91.1</v>
      </c>
      <c r="I21" s="285">
        <v>94.5</v>
      </c>
      <c r="J21" s="282">
        <v>93.4</v>
      </c>
      <c r="K21" s="282">
        <v>95</v>
      </c>
      <c r="L21" s="282">
        <v>24.9</v>
      </c>
      <c r="M21" s="282">
        <v>94</v>
      </c>
      <c r="N21" s="282">
        <v>94.9</v>
      </c>
      <c r="O21" s="282">
        <v>94.7</v>
      </c>
      <c r="P21" s="281">
        <v>95</v>
      </c>
      <c r="Q21" s="282">
        <v>95.995999999999995</v>
      </c>
      <c r="R21" s="282">
        <v>94.4</v>
      </c>
      <c r="S21" s="282">
        <v>22.4</v>
      </c>
      <c r="T21" s="282">
        <v>95.8</v>
      </c>
      <c r="U21" s="282">
        <v>94.5</v>
      </c>
      <c r="V21" s="284">
        <v>94.7</v>
      </c>
      <c r="W21" s="98">
        <f t="shared" si="0"/>
        <v>1744.2960000000003</v>
      </c>
    </row>
    <row r="22" spans="1:25" ht="39.950000000000003" customHeight="1" x14ac:dyDescent="0.25">
      <c r="A22" s="146" t="s">
        <v>21</v>
      </c>
      <c r="B22" s="281">
        <v>89.6</v>
      </c>
      <c r="C22" s="282">
        <v>89.8</v>
      </c>
      <c r="D22" s="282">
        <v>88.8</v>
      </c>
      <c r="E22" s="282">
        <v>22.3</v>
      </c>
      <c r="F22" s="282">
        <v>90.3</v>
      </c>
      <c r="G22" s="282">
        <v>88</v>
      </c>
      <c r="H22" s="284">
        <v>91.1</v>
      </c>
      <c r="I22" s="285">
        <v>94.5</v>
      </c>
      <c r="J22" s="282">
        <v>93.4</v>
      </c>
      <c r="K22" s="282">
        <v>95</v>
      </c>
      <c r="L22" s="282">
        <v>24.9</v>
      </c>
      <c r="M22" s="282">
        <v>94</v>
      </c>
      <c r="N22" s="282">
        <v>94.8</v>
      </c>
      <c r="O22" s="282">
        <v>94.7</v>
      </c>
      <c r="P22" s="281">
        <v>95</v>
      </c>
      <c r="Q22" s="282">
        <v>95.995999999999995</v>
      </c>
      <c r="R22" s="282">
        <v>94.4</v>
      </c>
      <c r="S22" s="282">
        <v>22.4</v>
      </c>
      <c r="T22" s="282">
        <v>95.8</v>
      </c>
      <c r="U22" s="282">
        <v>94.5</v>
      </c>
      <c r="V22" s="284">
        <v>94.7</v>
      </c>
      <c r="W22" s="98">
        <f t="shared" si="0"/>
        <v>1743.9960000000003</v>
      </c>
    </row>
    <row r="23" spans="1:25" ht="39.950000000000003" customHeight="1" x14ac:dyDescent="0.25">
      <c r="A23" s="146" t="s">
        <v>22</v>
      </c>
      <c r="B23" s="281">
        <v>89.6</v>
      </c>
      <c r="C23" s="282">
        <v>89.8</v>
      </c>
      <c r="D23" s="282">
        <v>88.8</v>
      </c>
      <c r="E23" s="282">
        <v>22.3</v>
      </c>
      <c r="F23" s="282">
        <v>90.3</v>
      </c>
      <c r="G23" s="282">
        <v>88</v>
      </c>
      <c r="H23" s="284">
        <v>91</v>
      </c>
      <c r="I23" s="285">
        <v>94.5</v>
      </c>
      <c r="J23" s="282">
        <v>93.4</v>
      </c>
      <c r="K23" s="282">
        <v>95</v>
      </c>
      <c r="L23" s="282">
        <v>24.9</v>
      </c>
      <c r="M23" s="282">
        <v>94</v>
      </c>
      <c r="N23" s="282">
        <v>94.8</v>
      </c>
      <c r="O23" s="282">
        <v>94.7</v>
      </c>
      <c r="P23" s="281">
        <v>95</v>
      </c>
      <c r="Q23" s="282">
        <v>95.995999999999995</v>
      </c>
      <c r="R23" s="282">
        <v>94.4</v>
      </c>
      <c r="S23" s="282">
        <v>22.4</v>
      </c>
      <c r="T23" s="282">
        <v>95.8</v>
      </c>
      <c r="U23" s="282">
        <v>94.5</v>
      </c>
      <c r="V23" s="284">
        <v>94.7</v>
      </c>
      <c r="W23" s="98">
        <f t="shared" si="0"/>
        <v>1743.8960000000002</v>
      </c>
    </row>
    <row r="24" spans="1:25" ht="39.950000000000003" customHeight="1" thickBot="1" x14ac:dyDescent="0.3">
      <c r="A24" s="146" t="s">
        <v>23</v>
      </c>
      <c r="B24" s="281">
        <v>89.6</v>
      </c>
      <c r="C24" s="282">
        <v>89.8</v>
      </c>
      <c r="D24" s="282">
        <v>88.8</v>
      </c>
      <c r="E24" s="282">
        <v>22.2</v>
      </c>
      <c r="F24" s="282">
        <v>90.3</v>
      </c>
      <c r="G24" s="282">
        <v>88</v>
      </c>
      <c r="H24" s="284">
        <v>91</v>
      </c>
      <c r="I24" s="285">
        <v>94.5</v>
      </c>
      <c r="J24" s="282">
        <v>93.4</v>
      </c>
      <c r="K24" s="282">
        <v>95</v>
      </c>
      <c r="L24" s="282">
        <v>24.8</v>
      </c>
      <c r="M24" s="282">
        <v>93.9</v>
      </c>
      <c r="N24" s="282">
        <v>94.8</v>
      </c>
      <c r="O24" s="282">
        <v>94.7</v>
      </c>
      <c r="P24" s="281">
        <v>95</v>
      </c>
      <c r="Q24" s="282">
        <v>95.995999999999995</v>
      </c>
      <c r="R24" s="282">
        <v>94.3</v>
      </c>
      <c r="S24" s="282">
        <v>22.4</v>
      </c>
      <c r="T24" s="282">
        <v>95.8</v>
      </c>
      <c r="U24" s="282">
        <v>94.5</v>
      </c>
      <c r="V24" s="284">
        <v>94.7</v>
      </c>
      <c r="W24" s="98">
        <f t="shared" si="0"/>
        <v>1743.4960000000001</v>
      </c>
    </row>
    <row r="25" spans="1:25" ht="41.45" customHeight="1" x14ac:dyDescent="0.25">
      <c r="A25" s="182" t="s">
        <v>9</v>
      </c>
      <c r="B25" s="122">
        <f>SUM(B18:B24)</f>
        <v>627.50000000000011</v>
      </c>
      <c r="C25" s="120">
        <f>SUM(C18:C24)</f>
        <v>628.59999999999991</v>
      </c>
      <c r="D25" s="120">
        <f t="shared" ref="D25:V25" si="1">SUM(D18:D24)</f>
        <v>622</v>
      </c>
      <c r="E25" s="120">
        <f>SUM(E18:E24)</f>
        <v>156</v>
      </c>
      <c r="F25" s="120">
        <f t="shared" si="1"/>
        <v>632.99999999999989</v>
      </c>
      <c r="G25" s="120">
        <f t="shared" si="1"/>
        <v>616.4</v>
      </c>
      <c r="H25" s="121">
        <f t="shared" si="1"/>
        <v>637.5</v>
      </c>
      <c r="I25" s="122">
        <f t="shared" si="1"/>
        <v>661.8</v>
      </c>
      <c r="J25" s="120">
        <f t="shared" si="1"/>
        <v>654.09999999999991</v>
      </c>
      <c r="K25" s="120">
        <f t="shared" si="1"/>
        <v>665.1</v>
      </c>
      <c r="L25" s="120">
        <f t="shared" si="1"/>
        <v>176.00000000000003</v>
      </c>
      <c r="M25" s="120">
        <f t="shared" si="1"/>
        <v>658.5</v>
      </c>
      <c r="N25" s="120">
        <f t="shared" si="1"/>
        <v>664</v>
      </c>
      <c r="O25" s="121">
        <f t="shared" si="1"/>
        <v>662.90000000000009</v>
      </c>
      <c r="P25" s="122">
        <f t="shared" si="1"/>
        <v>665.1</v>
      </c>
      <c r="Q25" s="120">
        <f t="shared" si="1"/>
        <v>672.8839999999999</v>
      </c>
      <c r="R25" s="120">
        <f t="shared" si="1"/>
        <v>660.69999999999993</v>
      </c>
      <c r="S25" s="120">
        <f>SUM(S18:S24)</f>
        <v>158.30000000000001</v>
      </c>
      <c r="T25" s="120">
        <f t="shared" si="1"/>
        <v>670.69999999999993</v>
      </c>
      <c r="U25" s="120">
        <f t="shared" si="1"/>
        <v>661.8</v>
      </c>
      <c r="V25" s="121">
        <f t="shared" si="1"/>
        <v>662.90000000000009</v>
      </c>
      <c r="W25" s="361">
        <f>SUM(W18:W24)</f>
        <v>12215.784000000003</v>
      </c>
    </row>
    <row r="26" spans="1:25" s="2" customFormat="1" ht="36.75" customHeight="1" x14ac:dyDescent="0.25">
      <c r="A26" s="148" t="s">
        <v>11</v>
      </c>
      <c r="B26" s="487">
        <v>158.09999999999988</v>
      </c>
      <c r="C26" s="487">
        <v>158.09999999999988</v>
      </c>
      <c r="D26" s="487">
        <v>158.09999999999988</v>
      </c>
      <c r="E26" s="487">
        <v>158.09999999999988</v>
      </c>
      <c r="F26" s="487">
        <v>158.09999999999988</v>
      </c>
      <c r="G26" s="487">
        <v>158.09999999999988</v>
      </c>
      <c r="H26" s="487">
        <v>158.09999999999988</v>
      </c>
      <c r="I26" s="487">
        <v>158.09999999999988</v>
      </c>
      <c r="J26" s="487">
        <v>158.09999999999988</v>
      </c>
      <c r="K26" s="487">
        <v>158.09999999999988</v>
      </c>
      <c r="L26" s="487">
        <v>158.09999999999988</v>
      </c>
      <c r="M26" s="487">
        <v>158.09999999999988</v>
      </c>
      <c r="N26" s="487">
        <v>158.09999999999988</v>
      </c>
      <c r="O26" s="487">
        <v>158.09999999999988</v>
      </c>
      <c r="P26" s="487">
        <v>158.09999999999988</v>
      </c>
      <c r="Q26" s="487">
        <v>158.09999999999988</v>
      </c>
      <c r="R26" s="487">
        <v>158.09999999999988</v>
      </c>
      <c r="S26" s="487">
        <v>158.09999999999988</v>
      </c>
      <c r="T26" s="487">
        <v>158.09999999999988</v>
      </c>
      <c r="U26" s="487">
        <v>158.09999999999988</v>
      </c>
      <c r="V26" s="487">
        <v>158.09999999999988</v>
      </c>
      <c r="W26" s="99">
        <f>((W25/W27)/7)*1000</f>
        <v>158.10038050371446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89.642699999999948</v>
      </c>
      <c r="C28" s="30">
        <f t="shared" ref="C28:V28" si="2">(((((C26*7)*C27)/1000))/7)</f>
        <v>89.800799999999938</v>
      </c>
      <c r="D28" s="30">
        <f t="shared" si="2"/>
        <v>88.852199999999939</v>
      </c>
      <c r="E28" s="30">
        <f t="shared" si="2"/>
        <v>22.29209999999998</v>
      </c>
      <c r="F28" s="30">
        <f t="shared" si="2"/>
        <v>90.433199999999943</v>
      </c>
      <c r="G28" s="30">
        <f t="shared" si="2"/>
        <v>88.061699999999945</v>
      </c>
      <c r="H28" s="30">
        <f t="shared" si="2"/>
        <v>91.065599999999918</v>
      </c>
      <c r="I28" s="30">
        <f t="shared" si="2"/>
        <v>94.543799999999933</v>
      </c>
      <c r="J28" s="30">
        <f t="shared" si="2"/>
        <v>93.437099999999916</v>
      </c>
      <c r="K28" s="30">
        <f t="shared" si="2"/>
        <v>95.018099999999919</v>
      </c>
      <c r="L28" s="30">
        <f t="shared" si="2"/>
        <v>25.137899999999981</v>
      </c>
      <c r="M28" s="30">
        <f t="shared" si="2"/>
        <v>94.069499999999934</v>
      </c>
      <c r="N28" s="30">
        <f t="shared" si="2"/>
        <v>94.859999999999928</v>
      </c>
      <c r="O28" s="30">
        <f t="shared" si="2"/>
        <v>94.701899999999924</v>
      </c>
      <c r="P28" s="30">
        <f t="shared" si="2"/>
        <v>95.018099999999919</v>
      </c>
      <c r="Q28" s="30">
        <f t="shared" si="2"/>
        <v>96.124799999999937</v>
      </c>
      <c r="R28" s="30">
        <f t="shared" si="2"/>
        <v>94.385699999999915</v>
      </c>
      <c r="S28" s="30">
        <f t="shared" si="2"/>
        <v>22.608299999999986</v>
      </c>
      <c r="T28" s="30">
        <f t="shared" si="2"/>
        <v>95.808599999999927</v>
      </c>
      <c r="U28" s="30">
        <f t="shared" si="2"/>
        <v>94.543799999999933</v>
      </c>
      <c r="V28" s="30">
        <f t="shared" si="2"/>
        <v>94.701899999999924</v>
      </c>
      <c r="W28" s="362">
        <f>((W25*1000)/7)/W27</f>
        <v>158.10038050371449</v>
      </c>
    </row>
    <row r="29" spans="1:25" ht="33.75" customHeight="1" x14ac:dyDescent="0.25">
      <c r="A29" s="151" t="s">
        <v>14</v>
      </c>
      <c r="B29" s="281">
        <f>((B27*B26)*7)/1000</f>
        <v>627.49889999999959</v>
      </c>
      <c r="C29" s="282">
        <f>((C27*C26)*7)/1000</f>
        <v>628.60559999999953</v>
      </c>
      <c r="D29" s="282">
        <f t="shared" ref="D29:V29" si="3">((D27*D26)*7)/1000</f>
        <v>621.96539999999959</v>
      </c>
      <c r="E29" s="282">
        <f t="shared" si="3"/>
        <v>156.04469999999989</v>
      </c>
      <c r="F29" s="282">
        <f t="shared" si="3"/>
        <v>633.0323999999996</v>
      </c>
      <c r="G29" s="282">
        <f t="shared" si="3"/>
        <v>616.43189999999959</v>
      </c>
      <c r="H29" s="284">
        <f t="shared" si="3"/>
        <v>637.45919999999944</v>
      </c>
      <c r="I29" s="281">
        <f t="shared" si="3"/>
        <v>661.80659999999955</v>
      </c>
      <c r="J29" s="282">
        <f t="shared" si="3"/>
        <v>654.05969999999945</v>
      </c>
      <c r="K29" s="282">
        <f t="shared" si="3"/>
        <v>665.12669999999946</v>
      </c>
      <c r="L29" s="282">
        <f t="shared" si="3"/>
        <v>175.96529999999987</v>
      </c>
      <c r="M29" s="282">
        <f t="shared" si="3"/>
        <v>658.48649999999952</v>
      </c>
      <c r="N29" s="282">
        <f t="shared" si="3"/>
        <v>664.01999999999953</v>
      </c>
      <c r="O29" s="284">
        <f t="shared" si="3"/>
        <v>662.91329999999948</v>
      </c>
      <c r="P29" s="281">
        <f t="shared" si="3"/>
        <v>665.12669999999946</v>
      </c>
      <c r="Q29" s="282">
        <f t="shared" si="3"/>
        <v>672.87359999999956</v>
      </c>
      <c r="R29" s="282">
        <f t="shared" si="3"/>
        <v>660.69989999999939</v>
      </c>
      <c r="S29" s="282">
        <f t="shared" si="3"/>
        <v>158.2580999999999</v>
      </c>
      <c r="T29" s="282">
        <f t="shared" si="3"/>
        <v>670.66019999999946</v>
      </c>
      <c r="U29" s="282">
        <f t="shared" si="3"/>
        <v>661.80659999999955</v>
      </c>
      <c r="V29" s="284">
        <f t="shared" si="3"/>
        <v>662.91329999999948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158.10027714789624</v>
      </c>
      <c r="C30" s="38">
        <f t="shared" ref="C30:V30" si="4">+(C25/C27)/7*1000</f>
        <v>158.09859154929575</v>
      </c>
      <c r="D30" s="38">
        <f t="shared" si="4"/>
        <v>158.1087951194713</v>
      </c>
      <c r="E30" s="38">
        <f t="shared" si="4"/>
        <v>158.05471124620061</v>
      </c>
      <c r="F30" s="38">
        <f t="shared" si="4"/>
        <v>158.09190809190807</v>
      </c>
      <c r="G30" s="38">
        <f t="shared" si="4"/>
        <v>158.09181841497818</v>
      </c>
      <c r="H30" s="39">
        <f t="shared" si="4"/>
        <v>158.11011904761904</v>
      </c>
      <c r="I30" s="37">
        <f t="shared" si="4"/>
        <v>158.09842331581461</v>
      </c>
      <c r="J30" s="38">
        <f t="shared" si="4"/>
        <v>158.10974135847229</v>
      </c>
      <c r="K30" s="38">
        <f t="shared" si="4"/>
        <v>158.09365343475162</v>
      </c>
      <c r="L30" s="38">
        <f t="shared" si="4"/>
        <v>158.13117699910157</v>
      </c>
      <c r="M30" s="38">
        <f t="shared" si="4"/>
        <v>158.10324129651863</v>
      </c>
      <c r="N30" s="38">
        <f t="shared" si="4"/>
        <v>158.0952380952381</v>
      </c>
      <c r="O30" s="39">
        <f t="shared" si="4"/>
        <v>158.09682804674458</v>
      </c>
      <c r="P30" s="37">
        <f t="shared" si="4"/>
        <v>158.09365343475162</v>
      </c>
      <c r="Q30" s="38">
        <f t="shared" si="4"/>
        <v>158.10244360902254</v>
      </c>
      <c r="R30" s="38">
        <f t="shared" si="4"/>
        <v>158.10002392916962</v>
      </c>
      <c r="S30" s="38">
        <f t="shared" si="4"/>
        <v>158.14185814185817</v>
      </c>
      <c r="T30" s="38">
        <f t="shared" si="4"/>
        <v>158.10938236680806</v>
      </c>
      <c r="U30" s="38">
        <f t="shared" si="4"/>
        <v>158.09842331581461</v>
      </c>
      <c r="V30" s="39">
        <f t="shared" si="4"/>
        <v>158.09682804674458</v>
      </c>
      <c r="W30" s="40"/>
    </row>
    <row r="31" spans="1:25" ht="33.75" customHeight="1" x14ac:dyDescent="0.25">
      <c r="A31" s="41"/>
      <c r="B31" s="42">
        <f>B29-B25</f>
        <v>-1.1000000005196853E-3</v>
      </c>
      <c r="C31" s="42">
        <f t="shared" ref="C31:V32" si="5">C29-C25</f>
        <v>5.5999999996174665E-3</v>
      </c>
      <c r="D31" s="42">
        <f t="shared" si="5"/>
        <v>-3.4600000000409636E-2</v>
      </c>
      <c r="E31" s="42">
        <f t="shared" si="5"/>
        <v>4.469999999989227E-2</v>
      </c>
      <c r="F31" s="42">
        <f t="shared" si="5"/>
        <v>3.2399999999711326E-2</v>
      </c>
      <c r="G31" s="42">
        <f t="shared" si="5"/>
        <v>3.1899999999609463E-2</v>
      </c>
      <c r="H31" s="42">
        <f t="shared" si="5"/>
        <v>-4.0800000000558612E-2</v>
      </c>
      <c r="I31" s="42">
        <f t="shared" si="5"/>
        <v>6.5999999995938197E-3</v>
      </c>
      <c r="J31" s="42">
        <f t="shared" si="5"/>
        <v>-4.0300000000456748E-2</v>
      </c>
      <c r="K31" s="42">
        <f t="shared" si="5"/>
        <v>2.6699999999436841E-2</v>
      </c>
      <c r="L31" s="42">
        <f t="shared" si="5"/>
        <v>-3.4700000000157161E-2</v>
      </c>
      <c r="M31" s="42">
        <f t="shared" si="5"/>
        <v>-1.3500000000476575E-2</v>
      </c>
      <c r="N31" s="42">
        <f t="shared" si="5"/>
        <v>1.9999999999527063E-2</v>
      </c>
      <c r="O31" s="42">
        <f t="shared" si="5"/>
        <v>1.3299999999389911E-2</v>
      </c>
      <c r="P31" s="42">
        <f t="shared" si="5"/>
        <v>2.6699999999436841E-2</v>
      </c>
      <c r="Q31" s="42">
        <f t="shared" si="5"/>
        <v>-1.0400000000345244E-2</v>
      </c>
      <c r="R31" s="42">
        <f t="shared" si="5"/>
        <v>-1.0000000054333213E-4</v>
      </c>
      <c r="S31" s="42">
        <f t="shared" si="5"/>
        <v>-4.1900000000111959E-2</v>
      </c>
      <c r="T31" s="42">
        <f t="shared" si="5"/>
        <v>-3.9800000000468572E-2</v>
      </c>
      <c r="U31" s="42">
        <f t="shared" si="5"/>
        <v>6.5999999995938197E-3</v>
      </c>
      <c r="V31" s="42">
        <f t="shared" si="5"/>
        <v>1.3299999999389911E-2</v>
      </c>
      <c r="W31" s="42"/>
      <c r="X31" s="42"/>
    </row>
    <row r="32" spans="1:25" ht="33.75" customHeight="1" x14ac:dyDescent="0.25">
      <c r="A32" s="41"/>
      <c r="B32" s="42">
        <f>B30-B26</f>
        <v>2.7714789635524539E-4</v>
      </c>
      <c r="C32" s="42">
        <f t="shared" si="5"/>
        <v>-1.4084507041332017E-3</v>
      </c>
      <c r="D32" s="42">
        <f t="shared" si="5"/>
        <v>8.7951194714150915E-3</v>
      </c>
      <c r="E32" s="42">
        <f t="shared" si="5"/>
        <v>-4.5288753799269443E-2</v>
      </c>
      <c r="F32" s="42">
        <f t="shared" si="5"/>
        <v>-8.0919080918135933E-3</v>
      </c>
      <c r="G32" s="42">
        <f t="shared" si="5"/>
        <v>-8.1815850217026309E-3</v>
      </c>
      <c r="H32" s="42">
        <f t="shared" si="5"/>
        <v>1.0119047619156163E-2</v>
      </c>
      <c r="I32" s="42">
        <f t="shared" si="5"/>
        <v>-1.5766841852666857E-3</v>
      </c>
      <c r="J32" s="42">
        <f t="shared" si="5"/>
        <v>9.7413584724108659E-3</v>
      </c>
      <c r="K32" s="42">
        <f t="shared" si="5"/>
        <v>-6.3465652482648238E-3</v>
      </c>
      <c r="L32" s="42">
        <f t="shared" si="5"/>
        <v>3.1176999101688807E-2</v>
      </c>
      <c r="M32" s="42">
        <f t="shared" si="5"/>
        <v>3.2412965187518239E-3</v>
      </c>
      <c r="N32" s="42">
        <f t="shared" si="5"/>
        <v>-4.7619047617786237E-3</v>
      </c>
      <c r="O32" s="42">
        <f t="shared" si="5"/>
        <v>-3.1719532553040608E-3</v>
      </c>
      <c r="P32" s="42">
        <f t="shared" si="5"/>
        <v>-6.3465652482648238E-3</v>
      </c>
      <c r="Q32" s="42">
        <f>Q30-Q26</f>
        <v>2.4436090226629403E-3</v>
      </c>
      <c r="R32" s="42">
        <f t="shared" si="5"/>
        <v>2.3929169742586964E-5</v>
      </c>
      <c r="S32" s="42">
        <f t="shared" si="5"/>
        <v>4.1858141858284625E-2</v>
      </c>
      <c r="T32" s="42">
        <f t="shared" si="5"/>
        <v>9.3823668081824962E-3</v>
      </c>
      <c r="U32" s="42">
        <f t="shared" si="5"/>
        <v>-1.5766841852666857E-3</v>
      </c>
      <c r="V32" s="42">
        <f t="shared" si="5"/>
        <v>-3.1719532553040608E-3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85.4</v>
      </c>
      <c r="C39" s="282">
        <v>85.8</v>
      </c>
      <c r="D39" s="282">
        <v>16.2</v>
      </c>
      <c r="E39" s="282">
        <v>89</v>
      </c>
      <c r="F39" s="282">
        <v>88</v>
      </c>
      <c r="G39" s="284">
        <v>89.6</v>
      </c>
      <c r="H39" s="326">
        <f t="shared" ref="H39:H46" si="6">SUM(B39:G39)</f>
        <v>454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326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85.3</v>
      </c>
      <c r="C40" s="282">
        <v>85.8</v>
      </c>
      <c r="D40" s="282">
        <v>16.2</v>
      </c>
      <c r="E40" s="282">
        <v>88.9</v>
      </c>
      <c r="F40" s="282">
        <v>88</v>
      </c>
      <c r="G40" s="284">
        <v>89.6</v>
      </c>
      <c r="H40" s="264">
        <f t="shared" si="6"/>
        <v>453.79999999999995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264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85.3</v>
      </c>
      <c r="C41" s="282">
        <v>85.8</v>
      </c>
      <c r="D41" s="282">
        <v>16.2</v>
      </c>
      <c r="E41" s="282">
        <v>88.9</v>
      </c>
      <c r="F41" s="282">
        <v>88</v>
      </c>
      <c r="G41" s="284">
        <v>89.5</v>
      </c>
      <c r="H41" s="264">
        <f t="shared" si="6"/>
        <v>453.7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264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281">
        <v>85.1</v>
      </c>
      <c r="C42" s="282">
        <v>85.8</v>
      </c>
      <c r="D42" s="282">
        <v>13.3</v>
      </c>
      <c r="E42" s="282">
        <v>88.9</v>
      </c>
      <c r="F42" s="282">
        <v>88</v>
      </c>
      <c r="G42" s="284">
        <v>89.5</v>
      </c>
      <c r="H42" s="264">
        <f t="shared" si="6"/>
        <v>450.6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6.7</v>
      </c>
      <c r="S42" s="282">
        <v>6.4</v>
      </c>
      <c r="T42" s="282">
        <v>6.9</v>
      </c>
      <c r="U42" s="264">
        <f t="shared" si="7"/>
        <v>34.299999999999997</v>
      </c>
      <c r="V42" s="49"/>
      <c r="W42" s="48"/>
    </row>
    <row r="43" spans="1:25" ht="33.75" customHeight="1" x14ac:dyDescent="0.25">
      <c r="A43" s="146" t="s">
        <v>21</v>
      </c>
      <c r="B43" s="281">
        <v>85.1</v>
      </c>
      <c r="C43" s="282">
        <v>85.8</v>
      </c>
      <c r="D43" s="282">
        <v>13.2</v>
      </c>
      <c r="E43" s="282">
        <v>88.9</v>
      </c>
      <c r="F43" s="282">
        <v>88</v>
      </c>
      <c r="G43" s="284">
        <v>89.5</v>
      </c>
      <c r="H43" s="264">
        <f t="shared" si="6"/>
        <v>450.5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6.7</v>
      </c>
      <c r="S43" s="282">
        <v>6.4</v>
      </c>
      <c r="T43" s="282">
        <v>6.9</v>
      </c>
      <c r="U43" s="264">
        <f t="shared" si="7"/>
        <v>34.4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85.8</v>
      </c>
      <c r="D44" s="282">
        <v>13.2</v>
      </c>
      <c r="E44" s="282">
        <v>88.9</v>
      </c>
      <c r="F44" s="282">
        <v>87.9</v>
      </c>
      <c r="G44" s="284">
        <v>89.5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6.6</v>
      </c>
      <c r="S44" s="282">
        <v>6.5</v>
      </c>
      <c r="T44" s="282">
        <v>6.9</v>
      </c>
      <c r="U44" s="264">
        <f t="shared" si="7"/>
        <v>34.4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85.7</v>
      </c>
      <c r="D45" s="282">
        <v>13.2</v>
      </c>
      <c r="E45" s="282">
        <v>88.9</v>
      </c>
      <c r="F45" s="282">
        <v>87.9</v>
      </c>
      <c r="G45" s="284">
        <v>89.5</v>
      </c>
      <c r="H45" s="265">
        <f t="shared" si="6"/>
        <v>450.19999999999993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6.6</v>
      </c>
      <c r="S45" s="282">
        <v>6.5</v>
      </c>
      <c r="T45" s="282">
        <v>6.9</v>
      </c>
      <c r="U45" s="264">
        <f t="shared" si="7"/>
        <v>34.4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596.20000000000005</v>
      </c>
      <c r="C46" s="120">
        <f t="shared" si="8"/>
        <v>600.5</v>
      </c>
      <c r="D46" s="120">
        <f t="shared" si="8"/>
        <v>101.5</v>
      </c>
      <c r="E46" s="120">
        <f t="shared" si="8"/>
        <v>622.4</v>
      </c>
      <c r="F46" s="120">
        <f t="shared" si="8"/>
        <v>615.79999999999995</v>
      </c>
      <c r="G46" s="121">
        <f t="shared" si="8"/>
        <v>626.70000000000005</v>
      </c>
      <c r="H46" s="560">
        <f t="shared" si="6"/>
        <v>3163.0999999999995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47.1</v>
      </c>
      <c r="S46" s="120">
        <f t="shared" si="9"/>
        <v>47.1</v>
      </c>
      <c r="T46" s="120">
        <f t="shared" si="9"/>
        <v>48.699999999999996</v>
      </c>
      <c r="U46" s="326">
        <f>SUM(O46:T46)</f>
        <v>243.99999999999997</v>
      </c>
      <c r="V46" s="49"/>
      <c r="W46" s="2"/>
    </row>
    <row r="47" spans="1:25" ht="33.75" customHeight="1" x14ac:dyDescent="0.25">
      <c r="A47" s="148" t="s">
        <v>11</v>
      </c>
      <c r="B47" s="555">
        <v>155.97999999999996</v>
      </c>
      <c r="C47" s="555">
        <v>155.97999999999996</v>
      </c>
      <c r="D47" s="555">
        <v>155.97999999999996</v>
      </c>
      <c r="E47" s="555">
        <v>155.97999999999996</v>
      </c>
      <c r="F47" s="555">
        <v>155.97999999999996</v>
      </c>
      <c r="G47" s="555">
        <v>155.97999999999996</v>
      </c>
      <c r="H47" s="234">
        <f>+((H46/H48)/7)*1000</f>
        <v>155.97909167118692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152.21459762944474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85.165079999999975</v>
      </c>
      <c r="C49" s="30">
        <f t="shared" ref="C49:G49" si="10">(((((C47*7)*C48)/1000)/7))</f>
        <v>85.788999999999973</v>
      </c>
      <c r="D49" s="30">
        <f t="shared" si="10"/>
        <v>14.506139999999997</v>
      </c>
      <c r="E49" s="30">
        <f t="shared" si="10"/>
        <v>88.908599999999979</v>
      </c>
      <c r="F49" s="30">
        <f t="shared" si="10"/>
        <v>87.972719999999967</v>
      </c>
      <c r="G49" s="30">
        <f t="shared" si="10"/>
        <v>89.532519999999977</v>
      </c>
      <c r="H49" s="257">
        <f>((H46*1000)/H48)/7</f>
        <v>155.97909167118692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152.21459762944477</v>
      </c>
      <c r="V49" s="192"/>
    </row>
    <row r="50" spans="1:23" ht="33.75" customHeight="1" x14ac:dyDescent="0.25">
      <c r="A50" s="151" t="s">
        <v>14</v>
      </c>
      <c r="B50" s="281">
        <f>((B48*B47)*7)/1000</f>
        <v>596.15555999999981</v>
      </c>
      <c r="C50" s="282">
        <f t="shared" ref="C50:G50" si="12">((C48*C47)*7)/1000</f>
        <v>600.52299999999991</v>
      </c>
      <c r="D50" s="282">
        <f t="shared" si="12"/>
        <v>101.54297999999997</v>
      </c>
      <c r="E50" s="282">
        <f t="shared" si="12"/>
        <v>622.36019999999985</v>
      </c>
      <c r="F50" s="282">
        <f t="shared" si="12"/>
        <v>615.80903999999975</v>
      </c>
      <c r="G50" s="284">
        <f t="shared" si="12"/>
        <v>626.72763999999984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155.99162742019888</v>
      </c>
      <c r="C51" s="38">
        <f t="shared" si="14"/>
        <v>155.97402597402595</v>
      </c>
      <c r="D51" s="38">
        <f t="shared" si="14"/>
        <v>155.91397849462365</v>
      </c>
      <c r="E51" s="38">
        <f t="shared" si="14"/>
        <v>155.98997493734336</v>
      </c>
      <c r="F51" s="38">
        <f t="shared" si="14"/>
        <v>155.97771023302937</v>
      </c>
      <c r="G51" s="39">
        <f t="shared" si="14"/>
        <v>155.97312095569939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152.92207792207793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-4.4440000000236068E-2</v>
      </c>
      <c r="C52" s="42">
        <f t="shared" ref="C52:G53" si="16">C50-C46</f>
        <v>2.299999999991087E-2</v>
      </c>
      <c r="D52" s="42">
        <f t="shared" si="16"/>
        <v>4.2979999999971596E-2</v>
      </c>
      <c r="E52" s="42">
        <f t="shared" si="16"/>
        <v>-3.9800000000127511E-2</v>
      </c>
      <c r="F52" s="42">
        <f t="shared" si="16"/>
        <v>9.0399999997998748E-3</v>
      </c>
      <c r="G52" s="42">
        <f t="shared" si="16"/>
        <v>2.7639999999792053E-2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2.4000000000000909E-2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1.1627420198919936E-2</v>
      </c>
      <c r="C53" s="42">
        <f t="shared" si="16"/>
        <v>-5.9740259740124202E-3</v>
      </c>
      <c r="D53" s="42">
        <f t="shared" si="16"/>
        <v>-6.6021505376312462E-2</v>
      </c>
      <c r="E53" s="42">
        <f t="shared" si="16"/>
        <v>9.9749373434008248E-3</v>
      </c>
      <c r="F53" s="42">
        <f t="shared" si="16"/>
        <v>-2.2897669705912449E-3</v>
      </c>
      <c r="G53" s="42">
        <f t="shared" si="16"/>
        <v>-6.8790443005752877E-3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-7.7922077922067956E-2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61"/>
      <c r="C54" s="1061"/>
      <c r="D54" s="106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313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264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264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264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264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61"/>
  <dimension ref="A1:Y237"/>
  <sheetViews>
    <sheetView topLeftCell="A16" zoomScale="29" zoomScaleNormal="25" workbookViewId="0">
      <selection activeCell="B27" sqref="B27:V2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46</v>
      </c>
      <c r="Q11" s="1022"/>
      <c r="R11" s="6"/>
      <c r="S11" s="1" t="s">
        <v>6</v>
      </c>
      <c r="T11" s="95">
        <v>45693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89.4</v>
      </c>
      <c r="C18" s="282">
        <v>89.4</v>
      </c>
      <c r="D18" s="282">
        <v>88.6</v>
      </c>
      <c r="E18" s="282">
        <v>21.9</v>
      </c>
      <c r="F18" s="282">
        <v>90.2</v>
      </c>
      <c r="G18" s="282">
        <v>87.7</v>
      </c>
      <c r="H18" s="284">
        <v>90.7</v>
      </c>
      <c r="I18" s="285">
        <v>94.3</v>
      </c>
      <c r="J18" s="282">
        <v>93.2</v>
      </c>
      <c r="K18" s="282">
        <v>94.7</v>
      </c>
      <c r="L18" s="282">
        <v>25.1</v>
      </c>
      <c r="M18" s="282">
        <v>93.6</v>
      </c>
      <c r="N18" s="282">
        <v>94.6</v>
      </c>
      <c r="O18" s="282">
        <v>94.4</v>
      </c>
      <c r="P18" s="281">
        <v>94.6</v>
      </c>
      <c r="Q18" s="282">
        <v>95.5</v>
      </c>
      <c r="R18" s="282">
        <v>94</v>
      </c>
      <c r="S18" s="282">
        <v>22.3</v>
      </c>
      <c r="T18" s="282">
        <v>95.4</v>
      </c>
      <c r="U18" s="282">
        <v>94.1</v>
      </c>
      <c r="V18" s="284">
        <v>94.4</v>
      </c>
      <c r="W18" s="596">
        <f t="shared" ref="W18:W24" si="0">SUM(B18:V18)</f>
        <v>1738.1000000000001</v>
      </c>
    </row>
    <row r="19" spans="1:25" ht="39.950000000000003" customHeight="1" x14ac:dyDescent="0.25">
      <c r="A19" s="146" t="s">
        <v>24</v>
      </c>
      <c r="B19" s="281">
        <v>89.4</v>
      </c>
      <c r="C19" s="282">
        <v>89.4</v>
      </c>
      <c r="D19" s="282">
        <v>88.6</v>
      </c>
      <c r="E19" s="282">
        <v>21.9</v>
      </c>
      <c r="F19" s="282">
        <v>90.2</v>
      </c>
      <c r="G19" s="282">
        <v>87.7</v>
      </c>
      <c r="H19" s="284">
        <v>90.6</v>
      </c>
      <c r="I19" s="285">
        <v>94.1</v>
      </c>
      <c r="J19" s="282">
        <v>93.2</v>
      </c>
      <c r="K19" s="282">
        <v>94.7</v>
      </c>
      <c r="L19" s="282">
        <v>25.1</v>
      </c>
      <c r="M19" s="282">
        <v>93.6</v>
      </c>
      <c r="N19" s="282">
        <v>94.4</v>
      </c>
      <c r="O19" s="282">
        <v>94.4</v>
      </c>
      <c r="P19" s="281">
        <v>94.4</v>
      </c>
      <c r="Q19" s="282">
        <v>95.5</v>
      </c>
      <c r="R19" s="282">
        <v>94</v>
      </c>
      <c r="S19" s="282">
        <v>22.1</v>
      </c>
      <c r="T19" s="282">
        <v>95.4</v>
      </c>
      <c r="U19" s="282">
        <v>94.1</v>
      </c>
      <c r="V19" s="284">
        <v>94.2</v>
      </c>
      <c r="W19" s="538">
        <f>SUM(B19:V19)</f>
        <v>1737.0000000000002</v>
      </c>
    </row>
    <row r="20" spans="1:25" ht="39.75" customHeight="1" x14ac:dyDescent="0.25">
      <c r="A20" s="146" t="s">
        <v>20</v>
      </c>
      <c r="B20" s="281">
        <v>89.4</v>
      </c>
      <c r="C20" s="282">
        <v>89.1</v>
      </c>
      <c r="D20" s="282">
        <v>88.6</v>
      </c>
      <c r="E20" s="282">
        <v>21.9</v>
      </c>
      <c r="F20" s="282">
        <v>90.2</v>
      </c>
      <c r="G20" s="282">
        <v>87.8</v>
      </c>
      <c r="H20" s="284">
        <v>90.6</v>
      </c>
      <c r="I20" s="285">
        <v>94.1</v>
      </c>
      <c r="J20" s="282">
        <v>93.1</v>
      </c>
      <c r="K20" s="282">
        <v>94.7</v>
      </c>
      <c r="L20" s="282">
        <v>25.1</v>
      </c>
      <c r="M20" s="282">
        <v>93.6</v>
      </c>
      <c r="N20" s="282">
        <v>94.4</v>
      </c>
      <c r="O20" s="282">
        <v>94.4</v>
      </c>
      <c r="P20" s="281">
        <v>94.4</v>
      </c>
      <c r="Q20" s="282">
        <v>95.5</v>
      </c>
      <c r="R20" s="282">
        <v>94.1</v>
      </c>
      <c r="S20" s="282">
        <v>22</v>
      </c>
      <c r="T20" s="282">
        <v>95.4</v>
      </c>
      <c r="U20" s="282">
        <v>94.1</v>
      </c>
      <c r="V20" s="284">
        <v>94.2</v>
      </c>
      <c r="W20" s="538">
        <f t="shared" si="0"/>
        <v>1736.7000000000003</v>
      </c>
    </row>
    <row r="21" spans="1:25" ht="39.950000000000003" customHeight="1" x14ac:dyDescent="0.25">
      <c r="A21" s="146" t="s">
        <v>28</v>
      </c>
      <c r="B21" s="281">
        <v>89.3</v>
      </c>
      <c r="C21" s="282">
        <v>89.1</v>
      </c>
      <c r="D21" s="282">
        <v>88.6</v>
      </c>
      <c r="E21" s="282">
        <v>21.7</v>
      </c>
      <c r="F21" s="282">
        <v>89.8</v>
      </c>
      <c r="G21" s="282">
        <v>87.6</v>
      </c>
      <c r="H21" s="284">
        <v>90.6</v>
      </c>
      <c r="I21" s="285">
        <v>94</v>
      </c>
      <c r="J21" s="282">
        <v>92.9</v>
      </c>
      <c r="K21" s="282">
        <v>94.7</v>
      </c>
      <c r="L21" s="282">
        <v>24.8</v>
      </c>
      <c r="M21" s="282">
        <v>93.6</v>
      </c>
      <c r="N21" s="282">
        <v>94.1</v>
      </c>
      <c r="O21" s="282">
        <v>94.4</v>
      </c>
      <c r="P21" s="281">
        <v>94.1</v>
      </c>
      <c r="Q21" s="282">
        <v>95.5</v>
      </c>
      <c r="R21" s="282">
        <v>94.1</v>
      </c>
      <c r="S21" s="282">
        <v>21.8</v>
      </c>
      <c r="T21" s="282">
        <v>95.3</v>
      </c>
      <c r="U21" s="282">
        <v>94.1</v>
      </c>
      <c r="V21" s="284">
        <v>94.2</v>
      </c>
      <c r="W21" s="538">
        <f t="shared" si="0"/>
        <v>1734.2999999999997</v>
      </c>
    </row>
    <row r="22" spans="1:25" ht="39.950000000000003" customHeight="1" x14ac:dyDescent="0.25">
      <c r="A22" s="146" t="s">
        <v>21</v>
      </c>
      <c r="B22" s="281">
        <v>89.3</v>
      </c>
      <c r="C22" s="282">
        <v>89.1</v>
      </c>
      <c r="D22" s="282">
        <v>88.5</v>
      </c>
      <c r="E22" s="282">
        <v>21.6</v>
      </c>
      <c r="F22" s="282">
        <v>89.8</v>
      </c>
      <c r="G22" s="282">
        <v>87.5</v>
      </c>
      <c r="H22" s="284">
        <v>90.6</v>
      </c>
      <c r="I22" s="285">
        <v>94</v>
      </c>
      <c r="J22" s="282">
        <v>92.8</v>
      </c>
      <c r="K22" s="282">
        <v>94.7</v>
      </c>
      <c r="L22" s="282">
        <v>24.8</v>
      </c>
      <c r="M22" s="282">
        <v>93.6</v>
      </c>
      <c r="N22" s="282">
        <v>94.1</v>
      </c>
      <c r="O22" s="282">
        <v>94.4</v>
      </c>
      <c r="P22" s="281">
        <v>94.1</v>
      </c>
      <c r="Q22" s="282">
        <v>95.5</v>
      </c>
      <c r="R22" s="282">
        <v>94.1</v>
      </c>
      <c r="S22" s="282">
        <v>21.7</v>
      </c>
      <c r="T22" s="282">
        <v>95.3</v>
      </c>
      <c r="U22" s="282">
        <v>94.1</v>
      </c>
      <c r="V22" s="284">
        <v>94.2</v>
      </c>
      <c r="W22" s="538">
        <f t="shared" si="0"/>
        <v>1733.7999999999997</v>
      </c>
    </row>
    <row r="23" spans="1:25" ht="39.950000000000003" customHeight="1" x14ac:dyDescent="0.25">
      <c r="A23" s="146" t="s">
        <v>22</v>
      </c>
      <c r="B23" s="281">
        <v>89.3</v>
      </c>
      <c r="C23" s="282">
        <v>89.1</v>
      </c>
      <c r="D23" s="282">
        <v>88.5</v>
      </c>
      <c r="E23" s="282">
        <v>21.6</v>
      </c>
      <c r="F23" s="282">
        <v>89.8</v>
      </c>
      <c r="G23" s="282">
        <v>87.5</v>
      </c>
      <c r="H23" s="284">
        <v>90.6</v>
      </c>
      <c r="I23" s="285">
        <v>94</v>
      </c>
      <c r="J23" s="282">
        <v>92.8</v>
      </c>
      <c r="K23" s="282">
        <v>94.7</v>
      </c>
      <c r="L23" s="282">
        <v>24.7</v>
      </c>
      <c r="M23" s="282">
        <v>93.6</v>
      </c>
      <c r="N23" s="282">
        <v>94</v>
      </c>
      <c r="O23" s="282">
        <v>94.4</v>
      </c>
      <c r="P23" s="281">
        <v>94</v>
      </c>
      <c r="Q23" s="282">
        <v>95.5</v>
      </c>
      <c r="R23" s="282">
        <v>94.1</v>
      </c>
      <c r="S23" s="282">
        <v>21.7</v>
      </c>
      <c r="T23" s="282">
        <v>95.3</v>
      </c>
      <c r="U23" s="282">
        <v>94</v>
      </c>
      <c r="V23" s="284">
        <v>94.2</v>
      </c>
      <c r="W23" s="98">
        <f t="shared" si="0"/>
        <v>1733.4</v>
      </c>
    </row>
    <row r="24" spans="1:25" ht="39.950000000000003" customHeight="1" thickBot="1" x14ac:dyDescent="0.3">
      <c r="A24" s="146" t="s">
        <v>23</v>
      </c>
      <c r="B24" s="281">
        <v>87.1</v>
      </c>
      <c r="C24" s="282">
        <v>89.1</v>
      </c>
      <c r="D24" s="282">
        <v>87.4</v>
      </c>
      <c r="E24" s="282">
        <v>19.399999999999999</v>
      </c>
      <c r="F24" s="282">
        <v>88.7</v>
      </c>
      <c r="G24" s="282">
        <v>87.5</v>
      </c>
      <c r="H24" s="284">
        <v>89.5</v>
      </c>
      <c r="I24" s="285">
        <v>94</v>
      </c>
      <c r="J24" s="282">
        <v>92.8</v>
      </c>
      <c r="K24" s="282">
        <v>94.7</v>
      </c>
      <c r="L24" s="282">
        <v>24.7</v>
      </c>
      <c r="M24" s="282">
        <v>92.5</v>
      </c>
      <c r="N24" s="282">
        <v>94</v>
      </c>
      <c r="O24" s="282">
        <v>94.3</v>
      </c>
      <c r="P24" s="281">
        <v>94</v>
      </c>
      <c r="Q24" s="282">
        <v>95.5</v>
      </c>
      <c r="R24" s="282">
        <v>94.1</v>
      </c>
      <c r="S24" s="282">
        <v>21.7</v>
      </c>
      <c r="T24" s="282">
        <v>95.3</v>
      </c>
      <c r="U24" s="282">
        <v>94</v>
      </c>
      <c r="V24" s="284">
        <v>94.2</v>
      </c>
      <c r="W24" s="98">
        <f t="shared" si="0"/>
        <v>1724.5</v>
      </c>
    </row>
    <row r="25" spans="1:25" ht="41.45" customHeight="1" x14ac:dyDescent="0.25">
      <c r="A25" s="182" t="s">
        <v>9</v>
      </c>
      <c r="B25" s="122">
        <f>SUM(B18:B24)</f>
        <v>623.20000000000005</v>
      </c>
      <c r="C25" s="120">
        <f>SUM(C18:C24)</f>
        <v>624.30000000000007</v>
      </c>
      <c r="D25" s="120">
        <f t="shared" ref="D25:V25" si="1">SUM(D18:D24)</f>
        <v>618.79999999999995</v>
      </c>
      <c r="E25" s="120">
        <f>SUM(E18:E24)</f>
        <v>150</v>
      </c>
      <c r="F25" s="120">
        <f t="shared" si="1"/>
        <v>628.70000000000005</v>
      </c>
      <c r="G25" s="120">
        <f t="shared" si="1"/>
        <v>613.29999999999995</v>
      </c>
      <c r="H25" s="121">
        <f t="shared" si="1"/>
        <v>633.20000000000005</v>
      </c>
      <c r="I25" s="122">
        <f t="shared" si="1"/>
        <v>658.5</v>
      </c>
      <c r="J25" s="120">
        <f t="shared" si="1"/>
        <v>650.79999999999995</v>
      </c>
      <c r="K25" s="120">
        <f t="shared" si="1"/>
        <v>662.90000000000009</v>
      </c>
      <c r="L25" s="120">
        <f t="shared" si="1"/>
        <v>174.29999999999998</v>
      </c>
      <c r="M25" s="120">
        <f t="shared" si="1"/>
        <v>654.1</v>
      </c>
      <c r="N25" s="120">
        <f t="shared" si="1"/>
        <v>659.6</v>
      </c>
      <c r="O25" s="121">
        <f t="shared" si="1"/>
        <v>660.69999999999993</v>
      </c>
      <c r="P25" s="122">
        <f t="shared" si="1"/>
        <v>659.6</v>
      </c>
      <c r="Q25" s="120">
        <f t="shared" si="1"/>
        <v>668.5</v>
      </c>
      <c r="R25" s="120">
        <f t="shared" si="1"/>
        <v>658.50000000000011</v>
      </c>
      <c r="S25" s="120">
        <f>SUM(S18:S24)</f>
        <v>153.29999999999998</v>
      </c>
      <c r="T25" s="120">
        <f t="shared" si="1"/>
        <v>667.4</v>
      </c>
      <c r="U25" s="120">
        <f t="shared" si="1"/>
        <v>658.5</v>
      </c>
      <c r="V25" s="121">
        <f t="shared" si="1"/>
        <v>659.6</v>
      </c>
      <c r="W25" s="361">
        <f>SUM(W18:W24)</f>
        <v>12137.8</v>
      </c>
    </row>
    <row r="26" spans="1:25" s="2" customFormat="1" ht="36.75" customHeight="1" x14ac:dyDescent="0.25">
      <c r="A26" s="148" t="s">
        <v>11</v>
      </c>
      <c r="B26" s="487">
        <v>157.57999999999987</v>
      </c>
      <c r="C26" s="487">
        <v>157.57999999999987</v>
      </c>
      <c r="D26" s="487">
        <v>157.57999999999987</v>
      </c>
      <c r="E26" s="487">
        <v>157.57999999999987</v>
      </c>
      <c r="F26" s="487">
        <v>157.57999999999987</v>
      </c>
      <c r="G26" s="487">
        <v>157.57999999999987</v>
      </c>
      <c r="H26" s="487">
        <v>157.57999999999987</v>
      </c>
      <c r="I26" s="487">
        <v>157.57999999999987</v>
      </c>
      <c r="J26" s="487">
        <v>157.57999999999987</v>
      </c>
      <c r="K26" s="487">
        <v>157.57999999999987</v>
      </c>
      <c r="L26" s="487">
        <v>157.57999999999987</v>
      </c>
      <c r="M26" s="487">
        <v>157.57999999999987</v>
      </c>
      <c r="N26" s="487">
        <v>157.57999999999987</v>
      </c>
      <c r="O26" s="487">
        <v>157.57999999999987</v>
      </c>
      <c r="P26" s="487">
        <v>157.57999999999987</v>
      </c>
      <c r="Q26" s="487">
        <v>157.57999999999987</v>
      </c>
      <c r="R26" s="487">
        <v>157.57999999999987</v>
      </c>
      <c r="S26" s="487">
        <v>157.57999999999987</v>
      </c>
      <c r="T26" s="487">
        <v>157.57999999999987</v>
      </c>
      <c r="U26" s="487">
        <v>157.57999999999987</v>
      </c>
      <c r="V26" s="487">
        <v>157.57999999999987</v>
      </c>
      <c r="W26" s="99">
        <f>((W25/W27)/7)*1000</f>
        <v>157.66243213051726</v>
      </c>
    </row>
    <row r="27" spans="1:25" s="2" customFormat="1" ht="33" customHeight="1" x14ac:dyDescent="0.25">
      <c r="A27" s="149" t="s">
        <v>12</v>
      </c>
      <c r="B27" s="26">
        <v>565</v>
      </c>
      <c r="C27" s="27">
        <v>566</v>
      </c>
      <c r="D27" s="27">
        <v>561</v>
      </c>
      <c r="E27" s="27">
        <v>135</v>
      </c>
      <c r="F27" s="27">
        <v>570</v>
      </c>
      <c r="G27" s="27">
        <v>556</v>
      </c>
      <c r="H27" s="28">
        <v>574</v>
      </c>
      <c r="I27" s="26">
        <v>597</v>
      </c>
      <c r="J27" s="27">
        <v>590</v>
      </c>
      <c r="K27" s="27">
        <v>601</v>
      </c>
      <c r="L27" s="27">
        <v>158</v>
      </c>
      <c r="M27" s="27">
        <v>593</v>
      </c>
      <c r="N27" s="27">
        <v>598</v>
      </c>
      <c r="O27" s="28">
        <v>599</v>
      </c>
      <c r="P27" s="26">
        <v>598</v>
      </c>
      <c r="Q27" s="27">
        <v>606</v>
      </c>
      <c r="R27" s="27">
        <v>597</v>
      </c>
      <c r="S27" s="27">
        <v>134</v>
      </c>
      <c r="T27" s="27">
        <v>605</v>
      </c>
      <c r="U27" s="27">
        <v>597</v>
      </c>
      <c r="V27" s="28">
        <v>598</v>
      </c>
      <c r="W27" s="29">
        <f>SUM(B27:V27)</f>
        <v>10998</v>
      </c>
    </row>
    <row r="28" spans="1:25" s="2" customFormat="1" ht="33" customHeight="1" x14ac:dyDescent="0.25">
      <c r="A28" s="150" t="s">
        <v>13</v>
      </c>
      <c r="B28" s="30">
        <f>(((((B26*7)*B27)/1000))/7)</f>
        <v>89.032699999999906</v>
      </c>
      <c r="C28" s="30">
        <f t="shared" ref="C28:V28" si="2">(((((C26*7)*C27)/1000))/7)</f>
        <v>89.19027999999993</v>
      </c>
      <c r="D28" s="30">
        <f t="shared" si="2"/>
        <v>88.402379999999923</v>
      </c>
      <c r="E28" s="30">
        <f t="shared" si="2"/>
        <v>21.273299999999981</v>
      </c>
      <c r="F28" s="30">
        <f t="shared" si="2"/>
        <v>89.820599999999928</v>
      </c>
      <c r="G28" s="30">
        <f t="shared" si="2"/>
        <v>87.614479999999929</v>
      </c>
      <c r="H28" s="30">
        <f t="shared" si="2"/>
        <v>90.450919999999925</v>
      </c>
      <c r="I28" s="30">
        <f t="shared" si="2"/>
        <v>94.075259999999915</v>
      </c>
      <c r="J28" s="30">
        <f t="shared" si="2"/>
        <v>92.972199999999916</v>
      </c>
      <c r="K28" s="30">
        <f t="shared" si="2"/>
        <v>94.705579999999927</v>
      </c>
      <c r="L28" s="30">
        <f t="shared" si="2"/>
        <v>24.897639999999974</v>
      </c>
      <c r="M28" s="30">
        <f t="shared" si="2"/>
        <v>93.444939999999903</v>
      </c>
      <c r="N28" s="30">
        <f t="shared" si="2"/>
        <v>94.232839999999911</v>
      </c>
      <c r="O28" s="30">
        <f t="shared" si="2"/>
        <v>94.390419999999935</v>
      </c>
      <c r="P28" s="30">
        <f t="shared" si="2"/>
        <v>94.232839999999911</v>
      </c>
      <c r="Q28" s="30">
        <f t="shared" si="2"/>
        <v>95.493479999999906</v>
      </c>
      <c r="R28" s="30">
        <f t="shared" si="2"/>
        <v>94.075259999999915</v>
      </c>
      <c r="S28" s="30">
        <f t="shared" si="2"/>
        <v>21.115719999999982</v>
      </c>
      <c r="T28" s="30">
        <f t="shared" si="2"/>
        <v>95.335899999999924</v>
      </c>
      <c r="U28" s="30">
        <f t="shared" si="2"/>
        <v>94.075259999999915</v>
      </c>
      <c r="V28" s="30">
        <f t="shared" si="2"/>
        <v>94.232839999999911</v>
      </c>
      <c r="W28" s="362">
        <f>((W25*1000)/7)/W27</f>
        <v>157.66243213051723</v>
      </c>
    </row>
    <row r="29" spans="1:25" ht="33.75" customHeight="1" x14ac:dyDescent="0.25">
      <c r="A29" s="151" t="s">
        <v>14</v>
      </c>
      <c r="B29" s="281">
        <f>((B27*B26)*7)/1000</f>
        <v>623.22889999999938</v>
      </c>
      <c r="C29" s="282">
        <f>((C27*C26)*7)/1000</f>
        <v>624.33195999999953</v>
      </c>
      <c r="D29" s="282">
        <f t="shared" ref="D29:V29" si="3">((D27*D26)*7)/1000</f>
        <v>618.81665999999962</v>
      </c>
      <c r="E29" s="282">
        <f t="shared" si="3"/>
        <v>148.91309999999987</v>
      </c>
      <c r="F29" s="282">
        <f t="shared" si="3"/>
        <v>628.74419999999952</v>
      </c>
      <c r="G29" s="282">
        <f t="shared" si="3"/>
        <v>613.30135999999936</v>
      </c>
      <c r="H29" s="284">
        <f t="shared" si="3"/>
        <v>633.15643999999952</v>
      </c>
      <c r="I29" s="281">
        <f t="shared" si="3"/>
        <v>658.52681999999947</v>
      </c>
      <c r="J29" s="282">
        <f t="shared" si="3"/>
        <v>650.80539999999939</v>
      </c>
      <c r="K29" s="282">
        <f t="shared" si="3"/>
        <v>662.93905999999947</v>
      </c>
      <c r="L29" s="282">
        <f t="shared" si="3"/>
        <v>174.28347999999986</v>
      </c>
      <c r="M29" s="282">
        <f t="shared" si="3"/>
        <v>654.11457999999948</v>
      </c>
      <c r="N29" s="282">
        <f t="shared" si="3"/>
        <v>659.62987999999939</v>
      </c>
      <c r="O29" s="284">
        <f t="shared" si="3"/>
        <v>660.73293999999953</v>
      </c>
      <c r="P29" s="281">
        <f t="shared" si="3"/>
        <v>659.62987999999939</v>
      </c>
      <c r="Q29" s="282">
        <f t="shared" si="3"/>
        <v>668.45435999999938</v>
      </c>
      <c r="R29" s="282">
        <f t="shared" si="3"/>
        <v>658.52681999999947</v>
      </c>
      <c r="S29" s="282">
        <f t="shared" si="3"/>
        <v>147.8100399999999</v>
      </c>
      <c r="T29" s="282">
        <f t="shared" si="3"/>
        <v>667.35129999999947</v>
      </c>
      <c r="U29" s="282">
        <f t="shared" si="3"/>
        <v>658.52681999999947</v>
      </c>
      <c r="V29" s="284">
        <f t="shared" si="3"/>
        <v>659.62987999999939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157.57269279393174</v>
      </c>
      <c r="C30" s="38">
        <f t="shared" ref="C30:V30" si="4">+(C25/C27)/7*1000</f>
        <v>157.5719333669864</v>
      </c>
      <c r="D30" s="38">
        <f t="shared" si="4"/>
        <v>157.57575757575756</v>
      </c>
      <c r="E30" s="38">
        <f t="shared" si="4"/>
        <v>158.73015873015876</v>
      </c>
      <c r="F30" s="38">
        <f t="shared" si="4"/>
        <v>157.5689223057644</v>
      </c>
      <c r="G30" s="38">
        <f t="shared" si="4"/>
        <v>157.57965056526206</v>
      </c>
      <c r="H30" s="39">
        <f t="shared" si="4"/>
        <v>157.59084121453461</v>
      </c>
      <c r="I30" s="37">
        <f t="shared" si="4"/>
        <v>157.57358219669777</v>
      </c>
      <c r="J30" s="38">
        <f t="shared" si="4"/>
        <v>157.5786924939467</v>
      </c>
      <c r="K30" s="38">
        <f t="shared" si="4"/>
        <v>157.57071547420966</v>
      </c>
      <c r="L30" s="38">
        <f t="shared" si="4"/>
        <v>157.59493670886073</v>
      </c>
      <c r="M30" s="38">
        <f t="shared" si="4"/>
        <v>157.576487593351</v>
      </c>
      <c r="N30" s="38">
        <f t="shared" si="4"/>
        <v>157.57286192068801</v>
      </c>
      <c r="O30" s="39">
        <f t="shared" si="4"/>
        <v>157.57214404960649</v>
      </c>
      <c r="P30" s="37">
        <f t="shared" si="4"/>
        <v>157.57286192068801</v>
      </c>
      <c r="Q30" s="38">
        <f t="shared" si="4"/>
        <v>157.59075907590758</v>
      </c>
      <c r="R30" s="38">
        <f t="shared" si="4"/>
        <v>157.5735821966978</v>
      </c>
      <c r="S30" s="38">
        <f t="shared" si="4"/>
        <v>163.43283582089549</v>
      </c>
      <c r="T30" s="38">
        <f t="shared" si="4"/>
        <v>157.59149940968123</v>
      </c>
      <c r="U30" s="38">
        <f t="shared" si="4"/>
        <v>157.57358219669777</v>
      </c>
      <c r="V30" s="39">
        <f t="shared" si="4"/>
        <v>157.57286192068801</v>
      </c>
      <c r="W30" s="40"/>
    </row>
    <row r="31" spans="1:25" ht="33.75" customHeight="1" x14ac:dyDescent="0.25">
      <c r="A31" s="41"/>
      <c r="B31" s="42">
        <f>B29-B25</f>
        <v>2.8899999999339343E-2</v>
      </c>
      <c r="C31" s="42">
        <f t="shared" ref="C31:V32" si="5">C29-C25</f>
        <v>3.1959999999457978E-2</v>
      </c>
      <c r="D31" s="42">
        <f t="shared" si="5"/>
        <v>1.6659999999660613E-2</v>
      </c>
      <c r="E31" s="42">
        <f t="shared" si="5"/>
        <v>-1.0869000000001279</v>
      </c>
      <c r="F31" s="42">
        <f t="shared" si="5"/>
        <v>4.4199999999477768E-2</v>
      </c>
      <c r="G31" s="42">
        <f t="shared" si="5"/>
        <v>1.359999999408501E-3</v>
      </c>
      <c r="H31" s="42">
        <f t="shared" si="5"/>
        <v>-4.3560000000525179E-2</v>
      </c>
      <c r="I31" s="42">
        <f t="shared" si="5"/>
        <v>2.6819999999474931E-2</v>
      </c>
      <c r="J31" s="42">
        <f t="shared" si="5"/>
        <v>5.399999999440297E-3</v>
      </c>
      <c r="K31" s="42">
        <f t="shared" si="5"/>
        <v>3.9059999999381034E-2</v>
      </c>
      <c r="L31" s="42">
        <f t="shared" si="5"/>
        <v>-1.6520000000127766E-2</v>
      </c>
      <c r="M31" s="42">
        <f t="shared" si="5"/>
        <v>1.457999999945514E-2</v>
      </c>
      <c r="N31" s="42">
        <f t="shared" si="5"/>
        <v>2.9879999999366191E-2</v>
      </c>
      <c r="O31" s="42">
        <f t="shared" si="5"/>
        <v>3.2939999999598513E-2</v>
      </c>
      <c r="P31" s="42">
        <f t="shared" si="5"/>
        <v>2.9879999999366191E-2</v>
      </c>
      <c r="Q31" s="42">
        <f t="shared" si="5"/>
        <v>-4.5640000000616965E-2</v>
      </c>
      <c r="R31" s="42">
        <f t="shared" si="5"/>
        <v>2.6819999999361244E-2</v>
      </c>
      <c r="S31" s="42">
        <f t="shared" si="5"/>
        <v>-5.4899600000000817</v>
      </c>
      <c r="T31" s="42">
        <f t="shared" si="5"/>
        <v>-4.8700000000508226E-2</v>
      </c>
      <c r="U31" s="42">
        <f t="shared" si="5"/>
        <v>2.6819999999474931E-2</v>
      </c>
      <c r="V31" s="42">
        <f t="shared" si="5"/>
        <v>2.9879999999366191E-2</v>
      </c>
      <c r="W31" s="42"/>
      <c r="X31" s="42"/>
    </row>
    <row r="32" spans="1:25" ht="33.75" customHeight="1" x14ac:dyDescent="0.25">
      <c r="A32" s="41"/>
      <c r="B32" s="42">
        <f>B30-B26</f>
        <v>-7.3072060681340645E-3</v>
      </c>
      <c r="C32" s="42">
        <f t="shared" si="5"/>
        <v>-8.0666330134704367E-3</v>
      </c>
      <c r="D32" s="42">
        <f t="shared" si="5"/>
        <v>-4.2424242423066971E-3</v>
      </c>
      <c r="E32" s="42">
        <f t="shared" si="5"/>
        <v>1.1501587301588927</v>
      </c>
      <c r="F32" s="42">
        <f t="shared" si="5"/>
        <v>-1.1077694235467561E-2</v>
      </c>
      <c r="G32" s="42">
        <f t="shared" si="5"/>
        <v>-3.4943473781368084E-4</v>
      </c>
      <c r="H32" s="42">
        <f t="shared" si="5"/>
        <v>1.0841214534735855E-2</v>
      </c>
      <c r="I32" s="42">
        <f t="shared" si="5"/>
        <v>-6.4178033020994008E-3</v>
      </c>
      <c r="J32" s="42">
        <f t="shared" si="5"/>
        <v>-1.3075060531662075E-3</v>
      </c>
      <c r="K32" s="42">
        <f t="shared" si="5"/>
        <v>-9.2845257902069989E-3</v>
      </c>
      <c r="L32" s="42">
        <f t="shared" si="5"/>
        <v>1.4936708860858516E-2</v>
      </c>
      <c r="M32" s="42">
        <f t="shared" si="5"/>
        <v>-3.5124066488663175E-3</v>
      </c>
      <c r="N32" s="42">
        <f t="shared" si="5"/>
        <v>-7.1380793118578367E-3</v>
      </c>
      <c r="O32" s="42">
        <f t="shared" si="5"/>
        <v>-7.8559503933774977E-3</v>
      </c>
      <c r="P32" s="42">
        <f t="shared" si="5"/>
        <v>-7.1380793118578367E-3</v>
      </c>
      <c r="Q32" s="42">
        <f>Q30-Q26</f>
        <v>1.0759075907714077E-2</v>
      </c>
      <c r="R32" s="42">
        <f t="shared" si="5"/>
        <v>-6.417803302070979E-3</v>
      </c>
      <c r="S32" s="42">
        <f t="shared" si="5"/>
        <v>5.8528358208956206</v>
      </c>
      <c r="T32" s="42">
        <f t="shared" si="5"/>
        <v>1.1499409681363204E-2</v>
      </c>
      <c r="U32" s="42">
        <f t="shared" si="5"/>
        <v>-6.4178033020994008E-3</v>
      </c>
      <c r="V32" s="42">
        <f t="shared" si="5"/>
        <v>-7.1380793118578367E-3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84.8</v>
      </c>
      <c r="C39" s="282">
        <v>85.6</v>
      </c>
      <c r="D39" s="282">
        <v>13.6</v>
      </c>
      <c r="E39" s="282">
        <v>88.8</v>
      </c>
      <c r="F39" s="282">
        <v>87.8</v>
      </c>
      <c r="G39" s="284">
        <v>89.3</v>
      </c>
      <c r="H39" s="540">
        <f t="shared" ref="H39:H46" si="6">SUM(B39:G39)</f>
        <v>449.9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84.7</v>
      </c>
      <c r="C40" s="282">
        <v>85.5</v>
      </c>
      <c r="D40" s="282">
        <v>12.6</v>
      </c>
      <c r="E40" s="282">
        <v>88.7</v>
      </c>
      <c r="F40" s="282">
        <v>87.8</v>
      </c>
      <c r="G40" s="284">
        <v>89.3</v>
      </c>
      <c r="H40" s="539">
        <f t="shared" si="6"/>
        <v>448.6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6.8</v>
      </c>
      <c r="S40" s="282">
        <v>7.5</v>
      </c>
      <c r="T40" s="282">
        <v>7.2</v>
      </c>
      <c r="U40" s="539">
        <f t="shared" si="7"/>
        <v>35.799999999999997</v>
      </c>
      <c r="V40" s="49"/>
      <c r="W40" s="48"/>
    </row>
    <row r="41" spans="1:25" ht="33.75" customHeight="1" x14ac:dyDescent="0.25">
      <c r="A41" s="146" t="s">
        <v>20</v>
      </c>
      <c r="B41" s="281">
        <v>84.7</v>
      </c>
      <c r="C41" s="282">
        <v>85.4</v>
      </c>
      <c r="D41" s="282">
        <v>12.4</v>
      </c>
      <c r="E41" s="282">
        <v>88.7</v>
      </c>
      <c r="F41" s="282">
        <v>87.8</v>
      </c>
      <c r="G41" s="284">
        <v>89.3</v>
      </c>
      <c r="H41" s="539">
        <f t="shared" si="6"/>
        <v>448.30000000000007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7</v>
      </c>
      <c r="S41" s="282">
        <v>6.4</v>
      </c>
      <c r="T41" s="282">
        <v>6.8</v>
      </c>
      <c r="U41" s="539">
        <f t="shared" si="7"/>
        <v>34.299999999999997</v>
      </c>
      <c r="V41" s="49"/>
      <c r="W41" s="48"/>
    </row>
    <row r="42" spans="1:25" ht="33.75" customHeight="1" x14ac:dyDescent="0.45">
      <c r="A42" s="146" t="s">
        <v>28</v>
      </c>
      <c r="B42" s="281">
        <v>84.7</v>
      </c>
      <c r="C42" s="282">
        <v>85.4</v>
      </c>
      <c r="D42" s="598">
        <v>11.9</v>
      </c>
      <c r="E42" s="282">
        <v>88.7</v>
      </c>
      <c r="F42" s="282">
        <v>87.8</v>
      </c>
      <c r="G42" s="284">
        <v>89.3</v>
      </c>
      <c r="H42" s="539">
        <f t="shared" si="6"/>
        <v>447.80000000000007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6.7</v>
      </c>
      <c r="S42" s="282">
        <v>6.4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84.6</v>
      </c>
      <c r="C43" s="282">
        <v>85.4</v>
      </c>
      <c r="D43" s="282">
        <v>11.9</v>
      </c>
      <c r="E43" s="282">
        <v>88.7</v>
      </c>
      <c r="F43" s="282">
        <v>87.8</v>
      </c>
      <c r="G43" s="284">
        <v>89.4</v>
      </c>
      <c r="H43" s="539">
        <f t="shared" si="6"/>
        <v>447.80000000000007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1.3</v>
      </c>
      <c r="R43" s="282">
        <v>6.7</v>
      </c>
      <c r="S43" s="282">
        <v>6.4</v>
      </c>
      <c r="T43" s="282">
        <v>6.9</v>
      </c>
      <c r="U43" s="539">
        <f t="shared" si="7"/>
        <v>34</v>
      </c>
      <c r="V43" s="49"/>
      <c r="W43" s="48"/>
    </row>
    <row r="44" spans="1:25" ht="33.75" customHeight="1" x14ac:dyDescent="0.25">
      <c r="A44" s="146" t="s">
        <v>22</v>
      </c>
      <c r="B44" s="281">
        <v>84.6</v>
      </c>
      <c r="C44" s="282">
        <v>85.4</v>
      </c>
      <c r="D44" s="282">
        <v>11.9</v>
      </c>
      <c r="E44" s="282">
        <v>88.7</v>
      </c>
      <c r="F44" s="282">
        <v>87.8</v>
      </c>
      <c r="G44" s="284">
        <v>89.4</v>
      </c>
      <c r="H44" s="264">
        <f t="shared" si="6"/>
        <v>447.80000000000007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82.4</v>
      </c>
      <c r="C45" s="282">
        <v>85.4</v>
      </c>
      <c r="D45" s="282">
        <v>9.6</v>
      </c>
      <c r="E45" s="282">
        <v>88.7</v>
      </c>
      <c r="F45" s="282">
        <v>87.7</v>
      </c>
      <c r="G45" s="284">
        <v>89.4</v>
      </c>
      <c r="H45" s="265">
        <f t="shared" si="6"/>
        <v>443.20000000000005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1.3</v>
      </c>
      <c r="R45" s="282">
        <v>6.6</v>
      </c>
      <c r="S45" s="282">
        <v>6.5</v>
      </c>
      <c r="T45" s="282">
        <v>5.8</v>
      </c>
      <c r="U45" s="264">
        <f t="shared" si="7"/>
        <v>32.9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590.5</v>
      </c>
      <c r="C46" s="120">
        <f t="shared" si="8"/>
        <v>598.09999999999991</v>
      </c>
      <c r="D46" s="120">
        <f t="shared" si="8"/>
        <v>83.899999999999991</v>
      </c>
      <c r="E46" s="120">
        <f t="shared" si="8"/>
        <v>621</v>
      </c>
      <c r="F46" s="120">
        <f t="shared" si="8"/>
        <v>614.5</v>
      </c>
      <c r="G46" s="121">
        <f t="shared" si="8"/>
        <v>625.4</v>
      </c>
      <c r="H46" s="560">
        <f t="shared" si="6"/>
        <v>3133.4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44.099999999999994</v>
      </c>
      <c r="Q46" s="120">
        <f t="shared" si="9"/>
        <v>9.7000000000000011</v>
      </c>
      <c r="R46" s="120">
        <f t="shared" si="9"/>
        <v>47.1</v>
      </c>
      <c r="S46" s="120">
        <f t="shared" si="9"/>
        <v>47.1</v>
      </c>
      <c r="T46" s="120">
        <f t="shared" si="9"/>
        <v>47.599999999999994</v>
      </c>
      <c r="U46" s="326">
        <f>SUM(O46:T46)</f>
        <v>240.79999999999998</v>
      </c>
      <c r="V46" s="49"/>
      <c r="W46" s="2"/>
    </row>
    <row r="47" spans="1:25" ht="33.75" customHeight="1" x14ac:dyDescent="0.25">
      <c r="A47" s="148" t="s">
        <v>11</v>
      </c>
      <c r="B47" s="555">
        <v>155.63999999999996</v>
      </c>
      <c r="C47" s="555">
        <v>155.63999999999996</v>
      </c>
      <c r="D47" s="555">
        <v>155.63999999999996</v>
      </c>
      <c r="E47" s="555">
        <v>155.63999999999996</v>
      </c>
      <c r="F47" s="555">
        <v>155.63999999999996</v>
      </c>
      <c r="G47" s="555">
        <v>155.63999999999996</v>
      </c>
      <c r="H47" s="234">
        <f>+((H46/H48)/7)*1000</f>
        <v>155.96814335490294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152.88888888888889</v>
      </c>
      <c r="V47" s="50"/>
    </row>
    <row r="48" spans="1:25" ht="33.75" customHeight="1" x14ac:dyDescent="0.25">
      <c r="A48" s="149" t="s">
        <v>12</v>
      </c>
      <c r="B48" s="26">
        <v>542</v>
      </c>
      <c r="C48" s="27">
        <v>549</v>
      </c>
      <c r="D48" s="27">
        <v>75</v>
      </c>
      <c r="E48" s="27">
        <v>566</v>
      </c>
      <c r="F48" s="27">
        <v>564</v>
      </c>
      <c r="G48" s="28">
        <v>574</v>
      </c>
      <c r="H48" s="256">
        <f>SUM(B48:G48)</f>
        <v>2870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84.356879999999975</v>
      </c>
      <c r="C49" s="30">
        <f t="shared" ref="C49:G49" si="10">(((((C47*7)*C48)/1000)/7))</f>
        <v>85.446359999999984</v>
      </c>
      <c r="D49" s="30">
        <f t="shared" si="10"/>
        <v>11.672999999999998</v>
      </c>
      <c r="E49" s="30">
        <f t="shared" si="10"/>
        <v>88.09223999999999</v>
      </c>
      <c r="F49" s="30">
        <f t="shared" si="10"/>
        <v>87.780959999999979</v>
      </c>
      <c r="G49" s="30">
        <f t="shared" si="10"/>
        <v>89.33735999999999</v>
      </c>
      <c r="H49" s="257">
        <f>((H46*1000)/H48)/7</f>
        <v>155.96814335490294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6.3</v>
      </c>
      <c r="Q49" s="30">
        <f t="shared" si="11"/>
        <v>1.3904999999999998</v>
      </c>
      <c r="R49" s="30">
        <f t="shared" si="11"/>
        <v>6.5789999999999997</v>
      </c>
      <c r="S49" s="30">
        <f t="shared" si="11"/>
        <v>6.7320000000000002</v>
      </c>
      <c r="T49" s="30">
        <f t="shared" si="11"/>
        <v>6.798</v>
      </c>
      <c r="U49" s="253">
        <f>((U46*1000)/U48)/7</f>
        <v>152.88888888888889</v>
      </c>
      <c r="V49" s="192"/>
    </row>
    <row r="50" spans="1:23" ht="33.75" customHeight="1" x14ac:dyDescent="0.25">
      <c r="A50" s="151" t="s">
        <v>14</v>
      </c>
      <c r="B50" s="281">
        <f>((B48*B47)*7)/1000</f>
        <v>590.49815999999976</v>
      </c>
      <c r="C50" s="282">
        <f t="shared" ref="C50:G50" si="12">((C48*C47)*7)/1000</f>
        <v>598.12451999999973</v>
      </c>
      <c r="D50" s="282">
        <f t="shared" si="12"/>
        <v>81.71099999999997</v>
      </c>
      <c r="E50" s="282">
        <f t="shared" si="12"/>
        <v>616.64567999999986</v>
      </c>
      <c r="F50" s="282">
        <f t="shared" si="12"/>
        <v>614.4667199999999</v>
      </c>
      <c r="G50" s="284">
        <f t="shared" si="12"/>
        <v>625.36151999999981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44.1</v>
      </c>
      <c r="Q50" s="282">
        <f t="shared" si="13"/>
        <v>9.7334999999999994</v>
      </c>
      <c r="R50" s="282">
        <f t="shared" si="13"/>
        <v>46.052999999999997</v>
      </c>
      <c r="S50" s="282">
        <f t="shared" si="13"/>
        <v>47.124000000000002</v>
      </c>
      <c r="T50" s="282">
        <f t="shared" si="13"/>
        <v>47.585999999999999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155.64048497627834</v>
      </c>
      <c r="C51" s="38">
        <f t="shared" si="14"/>
        <v>155.63361956804576</v>
      </c>
      <c r="D51" s="38">
        <f t="shared" si="14"/>
        <v>159.8095238095238</v>
      </c>
      <c r="E51" s="38">
        <f t="shared" si="14"/>
        <v>156.73902069661787</v>
      </c>
      <c r="F51" s="38">
        <f t="shared" si="14"/>
        <v>155.64842958459982</v>
      </c>
      <c r="G51" s="39">
        <f t="shared" si="14"/>
        <v>155.64957690393231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149.99999999999997</v>
      </c>
      <c r="Q51" s="38">
        <f t="shared" si="15"/>
        <v>153.968253968254</v>
      </c>
      <c r="R51" s="38">
        <f t="shared" si="15"/>
        <v>156.47840531561459</v>
      </c>
      <c r="S51" s="38">
        <f t="shared" si="15"/>
        <v>152.92207792207793</v>
      </c>
      <c r="T51" s="38">
        <f t="shared" si="15"/>
        <v>154.54545454545453</v>
      </c>
      <c r="U51" s="255"/>
      <c r="V51" s="42"/>
    </row>
    <row r="52" spans="1:23" ht="33.75" customHeight="1" x14ac:dyDescent="0.25">
      <c r="A52" s="41"/>
      <c r="B52" s="42">
        <f>B50-B46</f>
        <v>-1.8400000002429806E-3</v>
      </c>
      <c r="C52" s="42">
        <f t="shared" ref="C52:G53" si="16">C50-C46</f>
        <v>2.4519999999824904E-2</v>
      </c>
      <c r="D52" s="42">
        <f t="shared" si="16"/>
        <v>-2.1890000000000214</v>
      </c>
      <c r="E52" s="42">
        <f t="shared" si="16"/>
        <v>-4.3543200000001434</v>
      </c>
      <c r="F52" s="42">
        <f t="shared" si="16"/>
        <v>-3.3280000000104337E-2</v>
      </c>
      <c r="G52" s="42">
        <f t="shared" si="16"/>
        <v>-3.8480000000163272E-2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0</v>
      </c>
      <c r="Q52" s="42">
        <f t="shared" si="17"/>
        <v>3.3499999999998309E-2</v>
      </c>
      <c r="R52" s="42">
        <f t="shared" si="17"/>
        <v>-1.0470000000000041</v>
      </c>
      <c r="S52" s="42">
        <f t="shared" si="17"/>
        <v>2.4000000000000909E-2</v>
      </c>
      <c r="T52" s="42">
        <f t="shared" si="17"/>
        <v>-1.3999999999995794E-2</v>
      </c>
    </row>
    <row r="53" spans="1:23" ht="33.75" customHeight="1" x14ac:dyDescent="0.25">
      <c r="A53" s="41"/>
      <c r="B53" s="42">
        <f>B51-B47</f>
        <v>4.8497627838628432E-4</v>
      </c>
      <c r="C53" s="42">
        <f t="shared" si="16"/>
        <v>-6.3804319541986843E-3</v>
      </c>
      <c r="D53" s="42">
        <f t="shared" si="16"/>
        <v>4.1695238095238381</v>
      </c>
      <c r="E53" s="42">
        <f t="shared" si="16"/>
        <v>1.099020696617913</v>
      </c>
      <c r="F53" s="42">
        <f t="shared" si="16"/>
        <v>8.4295845998667573E-3</v>
      </c>
      <c r="G53" s="42">
        <f t="shared" si="16"/>
        <v>9.5769039323556626E-3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</v>
      </c>
      <c r="Q53" s="42">
        <f t="shared" si="17"/>
        <v>-0.53174603174599611</v>
      </c>
      <c r="R53" s="42">
        <f t="shared" si="17"/>
        <v>3.4784053156145944</v>
      </c>
      <c r="S53" s="42">
        <f t="shared" si="17"/>
        <v>-7.7922077922067956E-2</v>
      </c>
      <c r="T53" s="42">
        <f t="shared" si="17"/>
        <v>4.5454545454532536E-2</v>
      </c>
      <c r="W53" s="2"/>
    </row>
    <row r="54" spans="1:23" ht="33.75" customHeight="1" x14ac:dyDescent="0.25">
      <c r="A54" s="41"/>
      <c r="B54" s="1061"/>
      <c r="C54" s="1061"/>
      <c r="D54" s="106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147.69999999999999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146.89999999999998</v>
      </c>
    </row>
    <row r="63" spans="1:23" ht="33.75" customHeight="1" x14ac:dyDescent="0.25">
      <c r="A63" s="146" t="s">
        <v>28</v>
      </c>
      <c r="B63" s="281">
        <v>7.8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147.19999999999996</v>
      </c>
    </row>
    <row r="64" spans="1:23" ht="33.75" customHeight="1" x14ac:dyDescent="0.25">
      <c r="A64" s="146" t="s">
        <v>21</v>
      </c>
      <c r="B64" s="281">
        <v>7.8</v>
      </c>
      <c r="C64" s="282">
        <v>7.8</v>
      </c>
      <c r="D64" s="282">
        <v>8</v>
      </c>
      <c r="E64" s="282">
        <v>2</v>
      </c>
      <c r="F64" s="282">
        <v>8</v>
      </c>
      <c r="G64" s="282">
        <v>7.3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146.99999999999997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2.1</v>
      </c>
      <c r="F65" s="282">
        <v>8</v>
      </c>
      <c r="G65" s="282">
        <v>7.3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147.19999999999999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7.3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147.30000000000001</v>
      </c>
    </row>
    <row r="67" spans="1:23" ht="33.75" customHeight="1" x14ac:dyDescent="0.25">
      <c r="A67" s="182" t="s">
        <v>9</v>
      </c>
      <c r="B67" s="122">
        <f>SUM(B60:B66)</f>
        <v>54.999999999999993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51.199999999999996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1030.6999999999998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156.97532744441057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938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7.3085000000000004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2.0345</v>
      </c>
      <c r="T70" s="31">
        <f t="shared" si="20"/>
        <v>7.6684999999999999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156.97532744441057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51.159500000000001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14.2415</v>
      </c>
      <c r="T71" s="282">
        <f t="shared" si="21"/>
        <v>53.679499999999997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157.14285714285711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155.62310030395139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168.13186813186815</v>
      </c>
      <c r="T72" s="38">
        <f t="shared" si="22"/>
        <v>159.76676384839647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-4.9999999999990052E-2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-4.0499999999994429E-2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-1.0585000000000004</v>
      </c>
      <c r="T73" s="42">
        <f t="shared" si="23"/>
        <v>-1.1204999999999998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0.14285714285711038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0.12310030395138938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11.631868131868146</v>
      </c>
      <c r="T74" s="42">
        <f t="shared" si="23"/>
        <v>3.2667638483964652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62"/>
  <dimension ref="A1:Y237"/>
  <sheetViews>
    <sheetView topLeftCell="A13" zoomScale="29" zoomScaleNormal="25" workbookViewId="0">
      <selection activeCell="A18" sqref="A18:XFD1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46</v>
      </c>
      <c r="Q11" s="1022"/>
      <c r="R11" s="6"/>
      <c r="S11" s="1" t="s">
        <v>6</v>
      </c>
      <c r="T11" s="95">
        <v>45697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88.8</v>
      </c>
      <c r="C18" s="282">
        <v>89</v>
      </c>
      <c r="D18" s="282">
        <v>88.2</v>
      </c>
      <c r="E18" s="282">
        <v>21.3</v>
      </c>
      <c r="F18" s="282">
        <v>89.6</v>
      </c>
      <c r="G18" s="282">
        <v>87.4</v>
      </c>
      <c r="H18" s="284">
        <v>90.2</v>
      </c>
      <c r="I18" s="285">
        <v>93.7</v>
      </c>
      <c r="J18" s="282">
        <v>92.7</v>
      </c>
      <c r="K18" s="282">
        <v>94.5</v>
      </c>
      <c r="L18" s="282">
        <v>24.9</v>
      </c>
      <c r="M18" s="282">
        <v>93.2</v>
      </c>
      <c r="N18" s="282">
        <v>94</v>
      </c>
      <c r="O18" s="282">
        <v>94.1</v>
      </c>
      <c r="P18" s="281">
        <v>94</v>
      </c>
      <c r="Q18" s="282">
        <v>95.2</v>
      </c>
      <c r="R18" s="282">
        <v>93.7</v>
      </c>
      <c r="S18" s="282">
        <v>21.1</v>
      </c>
      <c r="T18" s="282">
        <v>95.1</v>
      </c>
      <c r="U18" s="282">
        <v>93.8</v>
      </c>
      <c r="V18" s="284">
        <v>94</v>
      </c>
      <c r="W18" s="596">
        <f t="shared" ref="W18:W24" si="0">SUM(B18:V18)</f>
        <v>1728.4999999999998</v>
      </c>
    </row>
    <row r="19" spans="1:25" ht="39.950000000000003" customHeight="1" x14ac:dyDescent="0.25">
      <c r="A19" s="146" t="s">
        <v>24</v>
      </c>
      <c r="B19" s="281">
        <v>88.6</v>
      </c>
      <c r="C19" s="282">
        <v>88.8</v>
      </c>
      <c r="D19" s="282">
        <v>88.2</v>
      </c>
      <c r="E19" s="282">
        <v>21.2</v>
      </c>
      <c r="F19" s="282">
        <v>89.6</v>
      </c>
      <c r="G19" s="282">
        <v>87.2</v>
      </c>
      <c r="H19" s="284">
        <v>90.2</v>
      </c>
      <c r="I19" s="285">
        <v>93.8</v>
      </c>
      <c r="J19" s="282">
        <v>92.5</v>
      </c>
      <c r="K19" s="282">
        <v>94.4</v>
      </c>
      <c r="L19" s="282">
        <v>24.9</v>
      </c>
      <c r="M19" s="282">
        <v>93.2</v>
      </c>
      <c r="N19" s="282">
        <v>94</v>
      </c>
      <c r="O19" s="282">
        <v>94.1</v>
      </c>
      <c r="P19" s="281">
        <v>93.8</v>
      </c>
      <c r="Q19" s="282">
        <v>95.2</v>
      </c>
      <c r="R19" s="282">
        <v>93.7</v>
      </c>
      <c r="S19" s="282">
        <v>21.1</v>
      </c>
      <c r="T19" s="282">
        <v>94.9</v>
      </c>
      <c r="U19" s="282">
        <v>93.8</v>
      </c>
      <c r="V19" s="284">
        <v>94</v>
      </c>
      <c r="W19" s="538">
        <f>SUM(B19:V19)</f>
        <v>1727.1999999999998</v>
      </c>
    </row>
    <row r="20" spans="1:25" ht="39.75" customHeight="1" x14ac:dyDescent="0.25">
      <c r="A20" s="146" t="s">
        <v>20</v>
      </c>
      <c r="B20" s="485">
        <v>88.6</v>
      </c>
      <c r="C20" s="486">
        <v>88.7</v>
      </c>
      <c r="D20" s="486">
        <v>88.1</v>
      </c>
      <c r="E20" s="486">
        <v>20.8</v>
      </c>
      <c r="F20" s="486">
        <v>89.6</v>
      </c>
      <c r="G20" s="486">
        <v>87.2</v>
      </c>
      <c r="H20" s="499">
        <v>90.2</v>
      </c>
      <c r="I20" s="456">
        <v>93.8</v>
      </c>
      <c r="J20" s="486">
        <v>92.5</v>
      </c>
      <c r="K20" s="486">
        <v>94.4</v>
      </c>
      <c r="L20" s="486">
        <v>24.8</v>
      </c>
      <c r="M20" s="486">
        <v>93.2</v>
      </c>
      <c r="N20" s="486">
        <v>93.7</v>
      </c>
      <c r="O20" s="486">
        <v>94.1</v>
      </c>
      <c r="P20" s="485">
        <v>93.8</v>
      </c>
      <c r="Q20" s="486">
        <v>95</v>
      </c>
      <c r="R20" s="486">
        <v>93.6</v>
      </c>
      <c r="S20" s="486">
        <v>21.1</v>
      </c>
      <c r="T20" s="486">
        <v>94.9</v>
      </c>
      <c r="U20" s="486">
        <v>93.8</v>
      </c>
      <c r="V20" s="499">
        <v>94</v>
      </c>
      <c r="W20" s="538">
        <f t="shared" si="0"/>
        <v>1725.8999999999996</v>
      </c>
    </row>
    <row r="21" spans="1:25" ht="39.950000000000003" customHeight="1" x14ac:dyDescent="0.25">
      <c r="A21" s="146" t="s">
        <v>28</v>
      </c>
      <c r="B21" s="281">
        <v>88.6</v>
      </c>
      <c r="C21" s="282">
        <v>88.7</v>
      </c>
      <c r="D21" s="282">
        <v>88.1</v>
      </c>
      <c r="E21" s="282">
        <v>20.5</v>
      </c>
      <c r="F21" s="282">
        <v>89.5</v>
      </c>
      <c r="G21" s="282">
        <v>87.2</v>
      </c>
      <c r="H21" s="284">
        <v>90.2</v>
      </c>
      <c r="I21" s="285">
        <v>93.8</v>
      </c>
      <c r="J21" s="282">
        <v>92.5</v>
      </c>
      <c r="K21" s="282">
        <v>94.4</v>
      </c>
      <c r="L21" s="282">
        <v>24.8</v>
      </c>
      <c r="M21" s="282">
        <v>93.2</v>
      </c>
      <c r="N21" s="282">
        <v>93.5</v>
      </c>
      <c r="O21" s="282">
        <v>94.1</v>
      </c>
      <c r="P21" s="281">
        <v>93.8</v>
      </c>
      <c r="Q21" s="282">
        <v>95</v>
      </c>
      <c r="R21" s="282">
        <v>93.6</v>
      </c>
      <c r="S21" s="282">
        <v>21.1</v>
      </c>
      <c r="T21" s="282">
        <v>94.9</v>
      </c>
      <c r="U21" s="282">
        <v>93.8</v>
      </c>
      <c r="V21" s="284">
        <v>93.9</v>
      </c>
      <c r="W21" s="538">
        <f t="shared" si="0"/>
        <v>1725.1999999999998</v>
      </c>
    </row>
    <row r="22" spans="1:25" ht="39.950000000000003" customHeight="1" x14ac:dyDescent="0.25">
      <c r="A22" s="146" t="s">
        <v>21</v>
      </c>
      <c r="B22" s="281">
        <v>88.6</v>
      </c>
      <c r="C22" s="282">
        <v>88.7</v>
      </c>
      <c r="D22" s="282">
        <v>88.1</v>
      </c>
      <c r="E22" s="282">
        <v>20.5</v>
      </c>
      <c r="F22" s="282">
        <v>89.5</v>
      </c>
      <c r="G22" s="282">
        <v>87.1</v>
      </c>
      <c r="H22" s="284">
        <v>90.2</v>
      </c>
      <c r="I22" s="285">
        <v>93.8</v>
      </c>
      <c r="J22" s="282">
        <v>92.5</v>
      </c>
      <c r="K22" s="282">
        <v>94.4</v>
      </c>
      <c r="L22" s="282">
        <v>24.8</v>
      </c>
      <c r="M22" s="282">
        <v>93.1</v>
      </c>
      <c r="N22" s="282">
        <v>93.4</v>
      </c>
      <c r="O22" s="282">
        <v>94.1</v>
      </c>
      <c r="P22" s="281">
        <v>93.7</v>
      </c>
      <c r="Q22" s="282">
        <v>95</v>
      </c>
      <c r="R22" s="282">
        <v>93.6</v>
      </c>
      <c r="S22" s="282">
        <v>21</v>
      </c>
      <c r="T22" s="282">
        <v>94.8</v>
      </c>
      <c r="U22" s="282">
        <v>93.8</v>
      </c>
      <c r="V22" s="284">
        <v>93.9</v>
      </c>
      <c r="W22" s="538">
        <f t="shared" si="0"/>
        <v>1724.6</v>
      </c>
    </row>
    <row r="23" spans="1:25" ht="39.950000000000003" customHeight="1" x14ac:dyDescent="0.25">
      <c r="A23" s="146" t="s">
        <v>22</v>
      </c>
      <c r="B23" s="281">
        <v>88.5</v>
      </c>
      <c r="C23" s="282">
        <v>88.7</v>
      </c>
      <c r="D23" s="282">
        <v>87.6</v>
      </c>
      <c r="E23" s="282">
        <v>19.399999999999999</v>
      </c>
      <c r="F23" s="282">
        <v>89.5</v>
      </c>
      <c r="G23" s="282">
        <v>87.1</v>
      </c>
      <c r="H23" s="284">
        <v>90.1</v>
      </c>
      <c r="I23" s="285">
        <v>93.3</v>
      </c>
      <c r="J23" s="282">
        <v>92.5</v>
      </c>
      <c r="K23" s="282">
        <v>94.4</v>
      </c>
      <c r="L23" s="282">
        <v>23.7</v>
      </c>
      <c r="M23" s="282">
        <v>93.1</v>
      </c>
      <c r="N23" s="282">
        <v>93.4</v>
      </c>
      <c r="O23" s="282">
        <v>94.1</v>
      </c>
      <c r="P23" s="281">
        <v>93.7</v>
      </c>
      <c r="Q23" s="282">
        <v>95</v>
      </c>
      <c r="R23" s="282">
        <v>93.6</v>
      </c>
      <c r="S23" s="282">
        <v>19.399999999999999</v>
      </c>
      <c r="T23" s="282">
        <v>94.8</v>
      </c>
      <c r="U23" s="282">
        <v>92.7</v>
      </c>
      <c r="V23" s="284">
        <v>93.4</v>
      </c>
      <c r="W23" s="98">
        <f t="shared" si="0"/>
        <v>1718</v>
      </c>
    </row>
    <row r="24" spans="1:25" ht="39.950000000000003" customHeight="1" thickBot="1" x14ac:dyDescent="0.3">
      <c r="A24" s="146" t="s">
        <v>23</v>
      </c>
      <c r="B24" s="281">
        <v>88.5</v>
      </c>
      <c r="C24" s="282">
        <v>88.7</v>
      </c>
      <c r="D24" s="282">
        <v>87.5</v>
      </c>
      <c r="E24" s="282">
        <v>19.3</v>
      </c>
      <c r="F24" s="282">
        <v>89.5</v>
      </c>
      <c r="G24" s="282">
        <v>87.1</v>
      </c>
      <c r="H24" s="284">
        <v>90.1</v>
      </c>
      <c r="I24" s="285">
        <v>93.2</v>
      </c>
      <c r="J24" s="282">
        <v>92.5</v>
      </c>
      <c r="K24" s="282">
        <v>94.4</v>
      </c>
      <c r="L24" s="282">
        <v>23.7</v>
      </c>
      <c r="M24" s="282">
        <v>93.1</v>
      </c>
      <c r="N24" s="282">
        <v>93.4</v>
      </c>
      <c r="O24" s="282">
        <v>94.1</v>
      </c>
      <c r="P24" s="281">
        <v>93.7</v>
      </c>
      <c r="Q24" s="282">
        <v>94.9</v>
      </c>
      <c r="R24" s="282">
        <v>93.6</v>
      </c>
      <c r="S24" s="282">
        <v>19.3</v>
      </c>
      <c r="T24" s="282">
        <v>94.8</v>
      </c>
      <c r="U24" s="282">
        <v>92.6</v>
      </c>
      <c r="V24" s="284">
        <v>93.3</v>
      </c>
      <c r="W24" s="98">
        <f t="shared" si="0"/>
        <v>1717.3</v>
      </c>
    </row>
    <row r="25" spans="1:25" ht="41.45" customHeight="1" x14ac:dyDescent="0.25">
      <c r="A25" s="182" t="s">
        <v>9</v>
      </c>
      <c r="B25" s="122">
        <f>SUM(B18:B24)</f>
        <v>620.20000000000005</v>
      </c>
      <c r="C25" s="120">
        <f>SUM(C18:C24)</f>
        <v>621.30000000000007</v>
      </c>
      <c r="D25" s="120">
        <f t="shared" ref="D25:V25" si="1">SUM(D18:D24)</f>
        <v>615.80000000000007</v>
      </c>
      <c r="E25" s="120">
        <f>SUM(E18:E24)</f>
        <v>143</v>
      </c>
      <c r="F25" s="120">
        <f t="shared" si="1"/>
        <v>626.79999999999995</v>
      </c>
      <c r="G25" s="120">
        <f t="shared" si="1"/>
        <v>610.30000000000007</v>
      </c>
      <c r="H25" s="121">
        <f t="shared" si="1"/>
        <v>631.20000000000005</v>
      </c>
      <c r="I25" s="122">
        <f t="shared" si="1"/>
        <v>655.40000000000009</v>
      </c>
      <c r="J25" s="120">
        <f t="shared" si="1"/>
        <v>647.70000000000005</v>
      </c>
      <c r="K25" s="120">
        <f t="shared" si="1"/>
        <v>660.9</v>
      </c>
      <c r="L25" s="120">
        <f t="shared" si="1"/>
        <v>171.59999999999997</v>
      </c>
      <c r="M25" s="120">
        <f t="shared" si="1"/>
        <v>652.1</v>
      </c>
      <c r="N25" s="120">
        <f t="shared" si="1"/>
        <v>655.4</v>
      </c>
      <c r="O25" s="121">
        <f t="shared" si="1"/>
        <v>658.7</v>
      </c>
      <c r="P25" s="122">
        <f t="shared" si="1"/>
        <v>656.50000000000011</v>
      </c>
      <c r="Q25" s="120">
        <f t="shared" si="1"/>
        <v>665.3</v>
      </c>
      <c r="R25" s="120">
        <f t="shared" si="1"/>
        <v>655.40000000000009</v>
      </c>
      <c r="S25" s="120">
        <f>SUM(S18:S24)</f>
        <v>144.10000000000002</v>
      </c>
      <c r="T25" s="120">
        <f t="shared" si="1"/>
        <v>664.19999999999993</v>
      </c>
      <c r="U25" s="120">
        <f t="shared" si="1"/>
        <v>654.30000000000007</v>
      </c>
      <c r="V25" s="121">
        <f t="shared" si="1"/>
        <v>656.49999999999989</v>
      </c>
      <c r="W25" s="361">
        <f>SUM(W18:W24)</f>
        <v>12066.699999999999</v>
      </c>
    </row>
    <row r="26" spans="1:25" s="2" customFormat="1" ht="36.75" customHeight="1" x14ac:dyDescent="0.25">
      <c r="A26" s="148" t="s">
        <v>11</v>
      </c>
      <c r="B26" s="487">
        <v>157.1</v>
      </c>
      <c r="C26" s="487">
        <v>157.1</v>
      </c>
      <c r="D26" s="487">
        <v>157.1</v>
      </c>
      <c r="E26" s="487">
        <v>157.1</v>
      </c>
      <c r="F26" s="487">
        <v>157.1</v>
      </c>
      <c r="G26" s="487">
        <v>157.1</v>
      </c>
      <c r="H26" s="487">
        <v>157.1</v>
      </c>
      <c r="I26" s="487">
        <v>157.1</v>
      </c>
      <c r="J26" s="487">
        <v>157.1</v>
      </c>
      <c r="K26" s="487">
        <v>157.1</v>
      </c>
      <c r="L26" s="487">
        <v>157.1</v>
      </c>
      <c r="M26" s="487">
        <v>157.1</v>
      </c>
      <c r="N26" s="487">
        <v>157.1</v>
      </c>
      <c r="O26" s="487">
        <v>157.1</v>
      </c>
      <c r="P26" s="487">
        <v>157.1</v>
      </c>
      <c r="Q26" s="487">
        <v>157.1</v>
      </c>
      <c r="R26" s="487">
        <v>157.1</v>
      </c>
      <c r="S26" s="487">
        <v>157.1</v>
      </c>
      <c r="T26" s="487">
        <v>157.1</v>
      </c>
      <c r="U26" s="487">
        <v>157.1</v>
      </c>
      <c r="V26" s="487">
        <v>157.1</v>
      </c>
      <c r="W26" s="99">
        <f>((W25/W27)/7)*1000</f>
        <v>157.18193541663953</v>
      </c>
    </row>
    <row r="27" spans="1:25" s="2" customFormat="1" ht="33" customHeight="1" x14ac:dyDescent="0.25">
      <c r="A27" s="149" t="s">
        <v>12</v>
      </c>
      <c r="B27" s="26">
        <v>563</v>
      </c>
      <c r="C27" s="27">
        <v>565</v>
      </c>
      <c r="D27" s="27">
        <v>560</v>
      </c>
      <c r="E27" s="27">
        <v>129</v>
      </c>
      <c r="F27" s="27">
        <v>570</v>
      </c>
      <c r="G27" s="27">
        <v>555</v>
      </c>
      <c r="H27" s="28">
        <v>574</v>
      </c>
      <c r="I27" s="26">
        <v>596</v>
      </c>
      <c r="J27" s="27">
        <v>589</v>
      </c>
      <c r="K27" s="27">
        <v>601</v>
      </c>
      <c r="L27" s="27">
        <v>156</v>
      </c>
      <c r="M27" s="27">
        <v>593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10967</v>
      </c>
    </row>
    <row r="28" spans="1:25" s="2" customFormat="1" ht="33" customHeight="1" x14ac:dyDescent="0.25">
      <c r="A28" s="150" t="s">
        <v>13</v>
      </c>
      <c r="B28" s="30">
        <f>(((((B26*7)*B27)/1000))/7)</f>
        <v>88.447299999999998</v>
      </c>
      <c r="C28" s="30">
        <f t="shared" ref="C28:V28" si="2">(((((C26*7)*C27)/1000))/7)</f>
        <v>88.761499999999998</v>
      </c>
      <c r="D28" s="30">
        <f t="shared" si="2"/>
        <v>87.975999999999999</v>
      </c>
      <c r="E28" s="30">
        <f t="shared" si="2"/>
        <v>20.265900000000006</v>
      </c>
      <c r="F28" s="30">
        <f t="shared" si="2"/>
        <v>89.546999999999997</v>
      </c>
      <c r="G28" s="30">
        <f t="shared" si="2"/>
        <v>87.1905</v>
      </c>
      <c r="H28" s="30">
        <f t="shared" si="2"/>
        <v>90.175399999999996</v>
      </c>
      <c r="I28" s="30">
        <f t="shared" si="2"/>
        <v>93.63160000000002</v>
      </c>
      <c r="J28" s="30">
        <f t="shared" si="2"/>
        <v>92.531899999999993</v>
      </c>
      <c r="K28" s="30">
        <f t="shared" si="2"/>
        <v>94.417100000000005</v>
      </c>
      <c r="L28" s="30">
        <f t="shared" si="2"/>
        <v>24.5076</v>
      </c>
      <c r="M28" s="30">
        <f t="shared" si="2"/>
        <v>93.160299999999992</v>
      </c>
      <c r="N28" s="30">
        <f t="shared" si="2"/>
        <v>93.63160000000002</v>
      </c>
      <c r="O28" s="30">
        <f t="shared" si="2"/>
        <v>94.102900000000005</v>
      </c>
      <c r="P28" s="30">
        <f t="shared" si="2"/>
        <v>93.788699999999992</v>
      </c>
      <c r="Q28" s="30">
        <f t="shared" si="2"/>
        <v>94.888400000000019</v>
      </c>
      <c r="R28" s="30">
        <f t="shared" si="2"/>
        <v>93.63160000000002</v>
      </c>
      <c r="S28" s="30">
        <f t="shared" si="2"/>
        <v>20.580100000000005</v>
      </c>
      <c r="T28" s="30">
        <f t="shared" si="2"/>
        <v>94.731300000000005</v>
      </c>
      <c r="U28" s="30">
        <f t="shared" si="2"/>
        <v>93.317400000000006</v>
      </c>
      <c r="V28" s="30">
        <f t="shared" si="2"/>
        <v>93.63160000000002</v>
      </c>
      <c r="W28" s="362">
        <f>((W25*1000)/7)/W27</f>
        <v>157.1819354166395</v>
      </c>
    </row>
    <row r="29" spans="1:25" ht="33.75" customHeight="1" x14ac:dyDescent="0.25">
      <c r="A29" s="151" t="s">
        <v>14</v>
      </c>
      <c r="B29" s="281">
        <f>((B27*B26)*7)/1000</f>
        <v>619.13109999999995</v>
      </c>
      <c r="C29" s="282">
        <f>((C27*C26)*7)/1000</f>
        <v>621.33050000000003</v>
      </c>
      <c r="D29" s="282">
        <f t="shared" ref="D29:V29" si="3">((D27*D26)*7)/1000</f>
        <v>615.83199999999999</v>
      </c>
      <c r="E29" s="282">
        <f t="shared" si="3"/>
        <v>141.8613</v>
      </c>
      <c r="F29" s="282">
        <f t="shared" si="3"/>
        <v>626.82899999999995</v>
      </c>
      <c r="G29" s="282">
        <f t="shared" si="3"/>
        <v>610.33349999999996</v>
      </c>
      <c r="H29" s="284">
        <f t="shared" si="3"/>
        <v>631.22779999999989</v>
      </c>
      <c r="I29" s="281">
        <f t="shared" si="3"/>
        <v>655.4212</v>
      </c>
      <c r="J29" s="282">
        <f t="shared" si="3"/>
        <v>647.72329999999988</v>
      </c>
      <c r="K29" s="282">
        <f t="shared" si="3"/>
        <v>660.91969999999992</v>
      </c>
      <c r="L29" s="282">
        <f t="shared" si="3"/>
        <v>171.55319999999998</v>
      </c>
      <c r="M29" s="282">
        <f t="shared" si="3"/>
        <v>652.12209999999993</v>
      </c>
      <c r="N29" s="282">
        <f t="shared" si="3"/>
        <v>655.4212</v>
      </c>
      <c r="O29" s="284">
        <f t="shared" si="3"/>
        <v>658.72029999999995</v>
      </c>
      <c r="P29" s="281">
        <f t="shared" si="3"/>
        <v>656.52089999999998</v>
      </c>
      <c r="Q29" s="282">
        <f t="shared" si="3"/>
        <v>664.21879999999987</v>
      </c>
      <c r="R29" s="282">
        <f t="shared" si="3"/>
        <v>655.4212</v>
      </c>
      <c r="S29" s="282">
        <f t="shared" si="3"/>
        <v>144.06069999999997</v>
      </c>
      <c r="T29" s="282">
        <f t="shared" si="3"/>
        <v>663.1191</v>
      </c>
      <c r="U29" s="282">
        <f t="shared" si="3"/>
        <v>653.22179999999992</v>
      </c>
      <c r="V29" s="284">
        <f t="shared" si="3"/>
        <v>655.4212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157.37122557726465</v>
      </c>
      <c r="C30" s="38">
        <f t="shared" ref="C30:V30" si="4">+(C25/C27)/7*1000</f>
        <v>157.09228824273075</v>
      </c>
      <c r="D30" s="38">
        <f t="shared" si="4"/>
        <v>157.09183673469391</v>
      </c>
      <c r="E30" s="38">
        <f t="shared" si="4"/>
        <v>158.36101882613511</v>
      </c>
      <c r="F30" s="38">
        <f t="shared" si="4"/>
        <v>157.09273182957392</v>
      </c>
      <c r="G30" s="38">
        <f t="shared" si="4"/>
        <v>157.0913770913771</v>
      </c>
      <c r="H30" s="39">
        <f t="shared" si="4"/>
        <v>157.09308113489297</v>
      </c>
      <c r="I30" s="37">
        <f t="shared" si="4"/>
        <v>157.09491850431451</v>
      </c>
      <c r="J30" s="38">
        <f t="shared" si="4"/>
        <v>157.09434877516372</v>
      </c>
      <c r="K30" s="38">
        <f t="shared" si="4"/>
        <v>157.09531732826241</v>
      </c>
      <c r="L30" s="38">
        <f t="shared" si="4"/>
        <v>157.14285714285711</v>
      </c>
      <c r="M30" s="38">
        <f t="shared" si="4"/>
        <v>157.09467598169115</v>
      </c>
      <c r="N30" s="38">
        <f t="shared" si="4"/>
        <v>157.09491850431448</v>
      </c>
      <c r="O30" s="39">
        <f t="shared" si="4"/>
        <v>157.09515859766279</v>
      </c>
      <c r="P30" s="37">
        <f t="shared" si="4"/>
        <v>157.09499880354153</v>
      </c>
      <c r="Q30" s="38">
        <f t="shared" si="4"/>
        <v>157.35572374645221</v>
      </c>
      <c r="R30" s="38">
        <f t="shared" si="4"/>
        <v>157.09491850431451</v>
      </c>
      <c r="S30" s="38">
        <f t="shared" si="4"/>
        <v>157.14285714285717</v>
      </c>
      <c r="T30" s="38">
        <f t="shared" si="4"/>
        <v>157.35607675906184</v>
      </c>
      <c r="U30" s="38">
        <f t="shared" si="4"/>
        <v>157.35930735930737</v>
      </c>
      <c r="V30" s="39">
        <f t="shared" si="4"/>
        <v>157.35858101629913</v>
      </c>
      <c r="W30" s="40"/>
    </row>
    <row r="31" spans="1:25" ht="33.75" customHeight="1" x14ac:dyDescent="0.25">
      <c r="A31" s="41"/>
      <c r="B31" s="42">
        <f>B29-B25</f>
        <v>-1.0689000000000988</v>
      </c>
      <c r="C31" s="42">
        <f t="shared" ref="C31:V32" si="5">C29-C25</f>
        <v>3.0499999999960892E-2</v>
      </c>
      <c r="D31" s="42">
        <f t="shared" si="5"/>
        <v>3.1999999999925421E-2</v>
      </c>
      <c r="E31" s="42">
        <f t="shared" si="5"/>
        <v>-1.1387</v>
      </c>
      <c r="F31" s="42">
        <f t="shared" si="5"/>
        <v>2.8999999999996362E-2</v>
      </c>
      <c r="G31" s="42">
        <f t="shared" si="5"/>
        <v>3.3499999999889951E-2</v>
      </c>
      <c r="H31" s="42">
        <f t="shared" si="5"/>
        <v>2.7799999999842839E-2</v>
      </c>
      <c r="I31" s="42">
        <f t="shared" si="5"/>
        <v>2.1199999999907959E-2</v>
      </c>
      <c r="J31" s="42">
        <f t="shared" si="5"/>
        <v>2.3299999999835563E-2</v>
      </c>
      <c r="K31" s="42">
        <f t="shared" si="5"/>
        <v>1.9699999999943429E-2</v>
      </c>
      <c r="L31" s="42">
        <f t="shared" si="5"/>
        <v>-4.6799999999990405E-2</v>
      </c>
      <c r="M31" s="42">
        <f t="shared" si="5"/>
        <v>2.2099999999909414E-2</v>
      </c>
      <c r="N31" s="42">
        <f t="shared" si="5"/>
        <v>2.1200000000021646E-2</v>
      </c>
      <c r="O31" s="42">
        <f t="shared" si="5"/>
        <v>2.0299999999906504E-2</v>
      </c>
      <c r="P31" s="42">
        <f t="shared" si="5"/>
        <v>2.0899999999869578E-2</v>
      </c>
      <c r="Q31" s="42">
        <f t="shared" si="5"/>
        <v>-1.0812000000000808</v>
      </c>
      <c r="R31" s="42">
        <f t="shared" si="5"/>
        <v>2.1199999999907959E-2</v>
      </c>
      <c r="S31" s="42">
        <f t="shared" si="5"/>
        <v>-3.9300000000054069E-2</v>
      </c>
      <c r="T31" s="42">
        <f t="shared" si="5"/>
        <v>-1.0808999999999287</v>
      </c>
      <c r="U31" s="42">
        <f t="shared" si="5"/>
        <v>-1.0782000000001517</v>
      </c>
      <c r="V31" s="42">
        <f t="shared" si="5"/>
        <v>-1.0787999999998874</v>
      </c>
      <c r="W31" s="42"/>
      <c r="X31" s="42"/>
    </row>
    <row r="32" spans="1:25" ht="33.75" customHeight="1" x14ac:dyDescent="0.25">
      <c r="A32" s="41"/>
      <c r="B32" s="42">
        <f>B30-B26</f>
        <v>0.27122557726465857</v>
      </c>
      <c r="C32" s="42">
        <f t="shared" si="5"/>
        <v>-7.7117572692486647E-3</v>
      </c>
      <c r="D32" s="42">
        <f t="shared" si="5"/>
        <v>-8.1632653060808025E-3</v>
      </c>
      <c r="E32" s="42">
        <f t="shared" si="5"/>
        <v>1.2610188261351141</v>
      </c>
      <c r="F32" s="42">
        <f t="shared" si="5"/>
        <v>-7.2681704260730839E-3</v>
      </c>
      <c r="G32" s="42">
        <f t="shared" si="5"/>
        <v>-8.6229086228968299E-3</v>
      </c>
      <c r="H32" s="42">
        <f t="shared" si="5"/>
        <v>-6.9188651070248852E-3</v>
      </c>
      <c r="I32" s="42">
        <f t="shared" si="5"/>
        <v>-5.0814956854878801E-3</v>
      </c>
      <c r="J32" s="42">
        <f t="shared" si="5"/>
        <v>-5.6512248362707851E-3</v>
      </c>
      <c r="K32" s="42">
        <f t="shared" si="5"/>
        <v>-4.6826717375836324E-3</v>
      </c>
      <c r="L32" s="42">
        <f t="shared" si="5"/>
        <v>4.285714285711606E-2</v>
      </c>
      <c r="M32" s="42">
        <f t="shared" si="5"/>
        <v>-5.3240183088405502E-3</v>
      </c>
      <c r="N32" s="42">
        <f t="shared" si="5"/>
        <v>-5.0814956855163018E-3</v>
      </c>
      <c r="O32" s="42">
        <f t="shared" si="5"/>
        <v>-4.841402337206091E-3</v>
      </c>
      <c r="P32" s="42">
        <f t="shared" si="5"/>
        <v>-5.0011964584655288E-3</v>
      </c>
      <c r="Q32" s="42">
        <f>Q30-Q26</f>
        <v>0.25572374645221885</v>
      </c>
      <c r="R32" s="42">
        <f t="shared" si="5"/>
        <v>-5.0814956854878801E-3</v>
      </c>
      <c r="S32" s="42">
        <f t="shared" si="5"/>
        <v>4.2857142857172903E-2</v>
      </c>
      <c r="T32" s="42">
        <f t="shared" si="5"/>
        <v>0.25607675906184113</v>
      </c>
      <c r="U32" s="42">
        <f t="shared" si="5"/>
        <v>0.25930735930737114</v>
      </c>
      <c r="V32" s="42">
        <f t="shared" si="5"/>
        <v>0.25858101629913222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84.2</v>
      </c>
      <c r="C39" s="282">
        <v>85.3</v>
      </c>
      <c r="D39" s="282">
        <v>11.7</v>
      </c>
      <c r="E39" s="282">
        <v>87.9</v>
      </c>
      <c r="F39" s="282">
        <v>87.5</v>
      </c>
      <c r="G39" s="284">
        <v>89.2</v>
      </c>
      <c r="H39" s="540">
        <f t="shared" ref="H39:H46" si="6">SUM(B39:G39)</f>
        <v>445.8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84.2</v>
      </c>
      <c r="C40" s="282">
        <v>85.3</v>
      </c>
      <c r="D40" s="282">
        <v>11.3</v>
      </c>
      <c r="E40" s="282">
        <v>87.9</v>
      </c>
      <c r="F40" s="282">
        <v>87.6</v>
      </c>
      <c r="G40" s="284">
        <v>89.2</v>
      </c>
      <c r="H40" s="539">
        <f t="shared" si="6"/>
        <v>445.50000000000006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485">
        <v>84</v>
      </c>
      <c r="C41" s="486">
        <v>85</v>
      </c>
      <c r="D41" s="486">
        <v>11.3</v>
      </c>
      <c r="E41" s="486">
        <v>87.9</v>
      </c>
      <c r="F41" s="486">
        <v>87.6</v>
      </c>
      <c r="G41" s="499">
        <v>89.2</v>
      </c>
      <c r="H41" s="539">
        <f t="shared" si="6"/>
        <v>445.00000000000006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84</v>
      </c>
      <c r="C42" s="282">
        <v>85</v>
      </c>
      <c r="D42" s="282">
        <v>11</v>
      </c>
      <c r="E42" s="282">
        <v>87.9</v>
      </c>
      <c r="F42" s="282">
        <v>87.6</v>
      </c>
      <c r="G42" s="284">
        <v>89.1</v>
      </c>
      <c r="H42" s="539">
        <f t="shared" si="6"/>
        <v>444.6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83.9</v>
      </c>
      <c r="C43" s="282">
        <v>85</v>
      </c>
      <c r="D43" s="282">
        <v>11</v>
      </c>
      <c r="E43" s="282">
        <v>87.9</v>
      </c>
      <c r="F43" s="282">
        <v>87.6</v>
      </c>
      <c r="G43" s="284">
        <v>89.1</v>
      </c>
      <c r="H43" s="539">
        <f t="shared" si="6"/>
        <v>444.5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83.9</v>
      </c>
      <c r="C44" s="282">
        <v>85</v>
      </c>
      <c r="D44" s="282">
        <v>8.3000000000000007</v>
      </c>
      <c r="E44" s="282">
        <v>87.9</v>
      </c>
      <c r="F44" s="282">
        <v>87.6</v>
      </c>
      <c r="G44" s="284">
        <v>89.1</v>
      </c>
      <c r="H44" s="264">
        <f t="shared" si="6"/>
        <v>441.80000000000007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83.9</v>
      </c>
      <c r="C45" s="282">
        <v>85.1</v>
      </c>
      <c r="D45" s="282">
        <v>8.1999999999999993</v>
      </c>
      <c r="E45" s="282">
        <v>87.9</v>
      </c>
      <c r="F45" s="282">
        <v>87.6</v>
      </c>
      <c r="G45" s="284">
        <v>89.1</v>
      </c>
      <c r="H45" s="265">
        <f t="shared" si="6"/>
        <v>441.80000000000007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588.09999999999991</v>
      </c>
      <c r="C46" s="120">
        <f t="shared" si="8"/>
        <v>595.70000000000005</v>
      </c>
      <c r="D46" s="120">
        <f t="shared" si="8"/>
        <v>72.8</v>
      </c>
      <c r="E46" s="120">
        <f t="shared" si="8"/>
        <v>615.29999999999995</v>
      </c>
      <c r="F46" s="120">
        <f t="shared" si="8"/>
        <v>613.1</v>
      </c>
      <c r="G46" s="121">
        <f t="shared" si="8"/>
        <v>624.00000000000011</v>
      </c>
      <c r="H46" s="560">
        <f t="shared" si="6"/>
        <v>3109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155.29999999999995</v>
      </c>
      <c r="C47" s="555">
        <v>155.29999999999995</v>
      </c>
      <c r="D47" s="555">
        <v>155.29999999999995</v>
      </c>
      <c r="E47" s="555">
        <v>155.29999999999995</v>
      </c>
      <c r="F47" s="555">
        <v>155.29999999999995</v>
      </c>
      <c r="G47" s="555">
        <v>155.29999999999995</v>
      </c>
      <c r="H47" s="234">
        <f>+((H46/H48)/7)*1000</f>
        <v>155.56667500625471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541</v>
      </c>
      <c r="C48" s="27">
        <v>548</v>
      </c>
      <c r="D48" s="27">
        <v>63</v>
      </c>
      <c r="E48" s="27">
        <v>565</v>
      </c>
      <c r="F48" s="27">
        <v>564</v>
      </c>
      <c r="G48" s="28">
        <v>574</v>
      </c>
      <c r="H48" s="256">
        <f>SUM(B48:G48)</f>
        <v>2855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84.017299999999977</v>
      </c>
      <c r="C49" s="30">
        <f t="shared" ref="C49:G49" si="10">(((((C47*7)*C48)/1000)/7))</f>
        <v>85.10439999999997</v>
      </c>
      <c r="D49" s="30">
        <f t="shared" si="10"/>
        <v>9.7838999999999974</v>
      </c>
      <c r="E49" s="30">
        <f t="shared" si="10"/>
        <v>87.744499999999974</v>
      </c>
      <c r="F49" s="30">
        <f t="shared" si="10"/>
        <v>87.589199999999977</v>
      </c>
      <c r="G49" s="30">
        <f t="shared" si="10"/>
        <v>89.142199999999974</v>
      </c>
      <c r="H49" s="257">
        <f>((H46*1000)/H48)/7</f>
        <v>155.56667500625468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588.12109999999984</v>
      </c>
      <c r="C50" s="282">
        <f t="shared" ref="C50:G50" si="12">((C48*C47)*7)/1000</f>
        <v>595.73079999999982</v>
      </c>
      <c r="D50" s="282">
        <f t="shared" si="12"/>
        <v>68.487299999999991</v>
      </c>
      <c r="E50" s="282">
        <f t="shared" si="12"/>
        <v>614.21149999999977</v>
      </c>
      <c r="F50" s="282">
        <f t="shared" si="12"/>
        <v>613.12439999999981</v>
      </c>
      <c r="G50" s="284">
        <f t="shared" si="12"/>
        <v>623.99539999999979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155.2944283073673</v>
      </c>
      <c r="C51" s="38">
        <f t="shared" si="14"/>
        <v>155.29197080291971</v>
      </c>
      <c r="D51" s="38">
        <f t="shared" si="14"/>
        <v>165.07936507936509</v>
      </c>
      <c r="E51" s="38">
        <f t="shared" si="14"/>
        <v>155.57522123893804</v>
      </c>
      <c r="F51" s="38">
        <f t="shared" si="14"/>
        <v>155.29381965552182</v>
      </c>
      <c r="G51" s="39">
        <f t="shared" si="14"/>
        <v>155.30114484818318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2.1099999999933061E-2</v>
      </c>
      <c r="C52" s="42">
        <f t="shared" ref="C52:G53" si="16">C50-C46</f>
        <v>3.0799999999771899E-2</v>
      </c>
      <c r="D52" s="42">
        <f t="shared" si="16"/>
        <v>-4.3127000000000066</v>
      </c>
      <c r="E52" s="42">
        <f t="shared" si="16"/>
        <v>-1.088500000000181</v>
      </c>
      <c r="F52" s="42">
        <f t="shared" si="16"/>
        <v>2.4399999999786814E-2</v>
      </c>
      <c r="G52" s="42">
        <f t="shared" si="16"/>
        <v>-4.6000000003232344E-3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-5.5716926326567773E-3</v>
      </c>
      <c r="C53" s="42">
        <f t="shared" si="16"/>
        <v>-8.0291970802477408E-3</v>
      </c>
      <c r="D53" s="42">
        <f t="shared" si="16"/>
        <v>9.7793650793651352</v>
      </c>
      <c r="E53" s="42">
        <f t="shared" si="16"/>
        <v>0.27522123893808725</v>
      </c>
      <c r="F53" s="42">
        <f t="shared" si="16"/>
        <v>-6.1803444781389771E-3</v>
      </c>
      <c r="G53" s="42">
        <f t="shared" si="16"/>
        <v>1.1448481832303514E-3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061"/>
      <c r="C54" s="1061"/>
      <c r="D54" s="106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63"/>
  <dimension ref="A1:Y237"/>
  <sheetViews>
    <sheetView topLeftCell="A12" zoomScale="29" zoomScaleNormal="25" workbookViewId="0">
      <selection activeCell="A42" sqref="A42:XFD42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47</v>
      </c>
      <c r="Q11" s="1022"/>
      <c r="R11" s="6"/>
      <c r="S11" s="1" t="s">
        <v>6</v>
      </c>
      <c r="T11" s="95">
        <v>45704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88.2</v>
      </c>
      <c r="C18" s="282">
        <v>88.5</v>
      </c>
      <c r="D18" s="282">
        <v>87.7</v>
      </c>
      <c r="E18" s="282">
        <v>20.2</v>
      </c>
      <c r="F18" s="282">
        <v>89.3</v>
      </c>
      <c r="G18" s="282">
        <v>86.9</v>
      </c>
      <c r="H18" s="284">
        <v>89.9</v>
      </c>
      <c r="I18" s="285">
        <v>93.3</v>
      </c>
      <c r="J18" s="282">
        <v>92.2</v>
      </c>
      <c r="K18" s="282">
        <v>94.1</v>
      </c>
      <c r="L18" s="282">
        <v>24.5</v>
      </c>
      <c r="M18" s="282">
        <v>92.9</v>
      </c>
      <c r="N18" s="282">
        <v>93.3</v>
      </c>
      <c r="O18" s="282">
        <v>93.8</v>
      </c>
      <c r="P18" s="281">
        <v>93.5</v>
      </c>
      <c r="Q18" s="282">
        <v>94.6</v>
      </c>
      <c r="R18" s="282">
        <v>93.3</v>
      </c>
      <c r="S18" s="282">
        <v>20.5</v>
      </c>
      <c r="T18" s="282">
        <v>94.4</v>
      </c>
      <c r="U18" s="282">
        <v>93</v>
      </c>
      <c r="V18" s="284">
        <v>93.3</v>
      </c>
      <c r="W18" s="596">
        <f t="shared" ref="W18:W24" si="0">SUM(B18:V18)</f>
        <v>1717.3999999999999</v>
      </c>
    </row>
    <row r="19" spans="1:25" ht="39.950000000000003" customHeight="1" x14ac:dyDescent="0.25">
      <c r="A19" s="146" t="s">
        <v>24</v>
      </c>
      <c r="B19" s="281">
        <v>88.2</v>
      </c>
      <c r="C19" s="282">
        <v>88.5</v>
      </c>
      <c r="D19" s="282">
        <v>87.7</v>
      </c>
      <c r="E19" s="282">
        <v>20.2</v>
      </c>
      <c r="F19" s="282">
        <v>89.3</v>
      </c>
      <c r="G19" s="282">
        <v>86.9</v>
      </c>
      <c r="H19" s="284">
        <v>89.7</v>
      </c>
      <c r="I19" s="285">
        <v>93.3</v>
      </c>
      <c r="J19" s="282">
        <v>92.2</v>
      </c>
      <c r="K19" s="282">
        <v>94.1</v>
      </c>
      <c r="L19" s="282">
        <v>24.4</v>
      </c>
      <c r="M19" s="282">
        <v>92.7</v>
      </c>
      <c r="N19" s="282">
        <v>93.3</v>
      </c>
      <c r="O19" s="282">
        <v>93.8</v>
      </c>
      <c r="P19" s="281">
        <v>93.5</v>
      </c>
      <c r="Q19" s="282">
        <v>94.6</v>
      </c>
      <c r="R19" s="282">
        <v>93.3</v>
      </c>
      <c r="S19" s="282">
        <v>20.5</v>
      </c>
      <c r="T19" s="282">
        <v>94.4</v>
      </c>
      <c r="U19" s="282">
        <v>93</v>
      </c>
      <c r="V19" s="284">
        <v>93.3</v>
      </c>
      <c r="W19" s="538">
        <f>SUM(B19:V19)</f>
        <v>1716.8999999999999</v>
      </c>
    </row>
    <row r="20" spans="1:25" ht="39.75" customHeight="1" x14ac:dyDescent="0.25">
      <c r="A20" s="146" t="s">
        <v>20</v>
      </c>
      <c r="B20" s="133">
        <v>87.9</v>
      </c>
      <c r="C20" s="282">
        <v>88.5</v>
      </c>
      <c r="D20" s="282">
        <v>87.7</v>
      </c>
      <c r="E20" s="282">
        <v>20.2</v>
      </c>
      <c r="F20" s="282">
        <v>89</v>
      </c>
      <c r="G20" s="282">
        <v>86.9</v>
      </c>
      <c r="H20" s="284">
        <v>89.5</v>
      </c>
      <c r="I20" s="285">
        <v>93.1</v>
      </c>
      <c r="J20" s="282">
        <v>92.2</v>
      </c>
      <c r="K20" s="282">
        <v>94.1</v>
      </c>
      <c r="L20" s="282">
        <v>24.4</v>
      </c>
      <c r="M20" s="282">
        <v>92.4</v>
      </c>
      <c r="N20" s="282">
        <v>93.3</v>
      </c>
      <c r="O20" s="282">
        <v>93.8</v>
      </c>
      <c r="P20" s="281">
        <v>93.5</v>
      </c>
      <c r="Q20" s="282">
        <v>94.6</v>
      </c>
      <c r="R20" s="282">
        <v>93.3</v>
      </c>
      <c r="S20" s="282">
        <v>20.5</v>
      </c>
      <c r="T20" s="282">
        <v>94.4</v>
      </c>
      <c r="U20" s="282">
        <v>93</v>
      </c>
      <c r="V20" s="284">
        <v>93.3</v>
      </c>
      <c r="W20" s="538">
        <f t="shared" si="0"/>
        <v>1715.6</v>
      </c>
    </row>
    <row r="21" spans="1:25" ht="39.950000000000003" customHeight="1" x14ac:dyDescent="0.25">
      <c r="A21" s="146" t="s">
        <v>28</v>
      </c>
      <c r="B21" s="133">
        <v>87.9</v>
      </c>
      <c r="C21" s="282">
        <v>88.2</v>
      </c>
      <c r="D21" s="282">
        <v>87.7</v>
      </c>
      <c r="E21" s="282">
        <v>20</v>
      </c>
      <c r="F21" s="282">
        <v>88.5</v>
      </c>
      <c r="G21" s="282">
        <v>86.9</v>
      </c>
      <c r="H21" s="284">
        <v>89.2</v>
      </c>
      <c r="I21" s="285">
        <v>93.1</v>
      </c>
      <c r="J21" s="282">
        <v>92</v>
      </c>
      <c r="K21" s="282">
        <v>94.1</v>
      </c>
      <c r="L21" s="282">
        <v>24.2</v>
      </c>
      <c r="M21" s="282">
        <v>92.2</v>
      </c>
      <c r="N21" s="282">
        <v>93.3</v>
      </c>
      <c r="O21" s="282">
        <v>93.8</v>
      </c>
      <c r="P21" s="281">
        <v>93.5</v>
      </c>
      <c r="Q21" s="282">
        <v>94.6</v>
      </c>
      <c r="R21" s="282">
        <v>93.3</v>
      </c>
      <c r="S21" s="282">
        <v>20.5</v>
      </c>
      <c r="T21" s="282">
        <v>94.4</v>
      </c>
      <c r="U21" s="282">
        <v>93</v>
      </c>
      <c r="V21" s="284">
        <v>93.3</v>
      </c>
      <c r="W21" s="538">
        <f t="shared" si="0"/>
        <v>1713.7</v>
      </c>
    </row>
    <row r="22" spans="1:25" ht="39.950000000000003" customHeight="1" x14ac:dyDescent="0.25">
      <c r="A22" s="146" t="s">
        <v>21</v>
      </c>
      <c r="B22" s="133">
        <v>87.9</v>
      </c>
      <c r="C22" s="282">
        <v>88.1</v>
      </c>
      <c r="D22" s="282">
        <v>87.6</v>
      </c>
      <c r="E22" s="282">
        <v>19.899999999999999</v>
      </c>
      <c r="F22" s="282">
        <v>88.4</v>
      </c>
      <c r="G22" s="282">
        <v>86.9</v>
      </c>
      <c r="H22" s="284">
        <v>89.2</v>
      </c>
      <c r="I22" s="285">
        <v>93.1</v>
      </c>
      <c r="J22" s="282">
        <v>91.9</v>
      </c>
      <c r="K22" s="282">
        <v>94.1</v>
      </c>
      <c r="L22" s="282">
        <v>24.1</v>
      </c>
      <c r="M22" s="282">
        <v>92.1</v>
      </c>
      <c r="N22" s="282">
        <v>93.3</v>
      </c>
      <c r="O22" s="282">
        <v>93.8</v>
      </c>
      <c r="P22" s="281">
        <v>93.4</v>
      </c>
      <c r="Q22" s="282">
        <v>94.5</v>
      </c>
      <c r="R22" s="282">
        <v>93.3</v>
      </c>
      <c r="S22" s="282">
        <v>20.5</v>
      </c>
      <c r="T22" s="282">
        <v>94.4</v>
      </c>
      <c r="U22" s="282">
        <v>93</v>
      </c>
      <c r="V22" s="284">
        <v>93.3</v>
      </c>
      <c r="W22" s="538">
        <f t="shared" si="0"/>
        <v>1712.8000000000002</v>
      </c>
    </row>
    <row r="23" spans="1:25" ht="39.950000000000003" customHeight="1" x14ac:dyDescent="0.25">
      <c r="A23" s="146" t="s">
        <v>22</v>
      </c>
      <c r="B23" s="133">
        <v>87.9</v>
      </c>
      <c r="C23" s="282">
        <v>88.1</v>
      </c>
      <c r="D23" s="282">
        <v>87.6</v>
      </c>
      <c r="E23" s="282">
        <v>19.899999999999999</v>
      </c>
      <c r="F23" s="282">
        <v>88.4</v>
      </c>
      <c r="G23" s="282">
        <v>86.9</v>
      </c>
      <c r="H23" s="284">
        <v>89.1</v>
      </c>
      <c r="I23" s="285">
        <v>93.1</v>
      </c>
      <c r="J23" s="282">
        <v>91.9</v>
      </c>
      <c r="K23" s="282">
        <v>94.1</v>
      </c>
      <c r="L23" s="282">
        <v>24.1</v>
      </c>
      <c r="M23" s="282">
        <v>92.1</v>
      </c>
      <c r="N23" s="282">
        <v>93.3</v>
      </c>
      <c r="O23" s="282">
        <v>93.7</v>
      </c>
      <c r="P23" s="281">
        <v>93.4</v>
      </c>
      <c r="Q23" s="282">
        <v>94.5</v>
      </c>
      <c r="R23" s="282">
        <v>93.3</v>
      </c>
      <c r="S23" s="282">
        <v>20.5</v>
      </c>
      <c r="T23" s="282">
        <v>94.4</v>
      </c>
      <c r="U23" s="282">
        <v>93</v>
      </c>
      <c r="V23" s="284">
        <v>93.3</v>
      </c>
      <c r="W23" s="98">
        <f t="shared" si="0"/>
        <v>1712.6000000000001</v>
      </c>
    </row>
    <row r="24" spans="1:25" ht="39.950000000000003" customHeight="1" thickBot="1" x14ac:dyDescent="0.3">
      <c r="A24" s="146" t="s">
        <v>23</v>
      </c>
      <c r="B24" s="133">
        <v>87.8</v>
      </c>
      <c r="C24" s="282">
        <v>88.1</v>
      </c>
      <c r="D24" s="282">
        <v>87.6</v>
      </c>
      <c r="E24" s="282">
        <v>19.899999999999999</v>
      </c>
      <c r="F24" s="282">
        <v>88.4</v>
      </c>
      <c r="G24" s="282">
        <v>86.8</v>
      </c>
      <c r="H24" s="284">
        <v>89.1</v>
      </c>
      <c r="I24" s="285">
        <v>93</v>
      </c>
      <c r="J24" s="282">
        <v>91.9</v>
      </c>
      <c r="K24" s="282">
        <v>94</v>
      </c>
      <c r="L24" s="282">
        <v>24.1</v>
      </c>
      <c r="M24" s="282">
        <v>92.1</v>
      </c>
      <c r="N24" s="282">
        <v>93.3</v>
      </c>
      <c r="O24" s="282">
        <v>93.7</v>
      </c>
      <c r="P24" s="281">
        <v>93.4</v>
      </c>
      <c r="Q24" s="282">
        <v>94.5</v>
      </c>
      <c r="R24" s="282">
        <v>93.3</v>
      </c>
      <c r="S24" s="282">
        <v>20.5</v>
      </c>
      <c r="T24" s="282">
        <v>94.4</v>
      </c>
      <c r="U24" s="282">
        <v>92.9</v>
      </c>
      <c r="V24" s="284">
        <v>93.3</v>
      </c>
      <c r="W24" s="98">
        <f t="shared" si="0"/>
        <v>1712.1000000000001</v>
      </c>
    </row>
    <row r="25" spans="1:25" ht="41.45" customHeight="1" x14ac:dyDescent="0.25">
      <c r="A25" s="182" t="s">
        <v>9</v>
      </c>
      <c r="B25" s="122">
        <f>SUM(B18:B24)</f>
        <v>615.79999999999995</v>
      </c>
      <c r="C25" s="120">
        <f>SUM(C18:C24)</f>
        <v>618</v>
      </c>
      <c r="D25" s="120">
        <f t="shared" ref="D25:V25" si="1">SUM(D18:D24)</f>
        <v>613.6</v>
      </c>
      <c r="E25" s="120">
        <f>SUM(E18:E24)</f>
        <v>140.30000000000001</v>
      </c>
      <c r="F25" s="120">
        <f t="shared" si="1"/>
        <v>621.29999999999995</v>
      </c>
      <c r="G25" s="120">
        <f t="shared" si="1"/>
        <v>608.19999999999993</v>
      </c>
      <c r="H25" s="121">
        <f t="shared" si="1"/>
        <v>625.70000000000005</v>
      </c>
      <c r="I25" s="122">
        <f t="shared" si="1"/>
        <v>652</v>
      </c>
      <c r="J25" s="120">
        <f t="shared" si="1"/>
        <v>644.29999999999995</v>
      </c>
      <c r="K25" s="120">
        <f t="shared" si="1"/>
        <v>658.6</v>
      </c>
      <c r="L25" s="120">
        <f t="shared" si="1"/>
        <v>169.79999999999998</v>
      </c>
      <c r="M25" s="120">
        <f t="shared" si="1"/>
        <v>646.5</v>
      </c>
      <c r="N25" s="120">
        <f t="shared" si="1"/>
        <v>653.09999999999991</v>
      </c>
      <c r="O25" s="121">
        <f t="shared" si="1"/>
        <v>656.40000000000009</v>
      </c>
      <c r="P25" s="122">
        <f t="shared" si="1"/>
        <v>654.19999999999993</v>
      </c>
      <c r="Q25" s="120">
        <f t="shared" si="1"/>
        <v>661.9</v>
      </c>
      <c r="R25" s="120">
        <f t="shared" si="1"/>
        <v>653.09999999999991</v>
      </c>
      <c r="S25" s="120">
        <f>SUM(S18:S24)</f>
        <v>143.5</v>
      </c>
      <c r="T25" s="120">
        <f t="shared" si="1"/>
        <v>660.8</v>
      </c>
      <c r="U25" s="120">
        <f t="shared" si="1"/>
        <v>650.9</v>
      </c>
      <c r="V25" s="121">
        <f t="shared" si="1"/>
        <v>653.09999999999991</v>
      </c>
      <c r="W25" s="361">
        <f>SUM(W18:W24)</f>
        <v>12001.1</v>
      </c>
    </row>
    <row r="26" spans="1:25" s="2" customFormat="1" ht="36.75" customHeight="1" x14ac:dyDescent="0.25">
      <c r="A26" s="148" t="s">
        <v>11</v>
      </c>
      <c r="B26" s="487">
        <v>156.53999999999985</v>
      </c>
      <c r="C26" s="487">
        <v>156.53999999999985</v>
      </c>
      <c r="D26" s="487">
        <v>156.53999999999985</v>
      </c>
      <c r="E26" s="487">
        <v>156.53999999999985</v>
      </c>
      <c r="F26" s="487">
        <v>156.53999999999985</v>
      </c>
      <c r="G26" s="487">
        <v>156.53999999999985</v>
      </c>
      <c r="H26" s="487">
        <v>156.53999999999985</v>
      </c>
      <c r="I26" s="487">
        <v>156.53999999999985</v>
      </c>
      <c r="J26" s="487">
        <v>156.53999999999985</v>
      </c>
      <c r="K26" s="487">
        <v>156.53999999999985</v>
      </c>
      <c r="L26" s="487">
        <v>156.53999999999985</v>
      </c>
      <c r="M26" s="487">
        <v>156.53999999999985</v>
      </c>
      <c r="N26" s="487">
        <v>156.53999999999985</v>
      </c>
      <c r="O26" s="487">
        <v>156.53999999999985</v>
      </c>
      <c r="P26" s="487">
        <v>156.53999999999985</v>
      </c>
      <c r="Q26" s="487">
        <v>156.53999999999985</v>
      </c>
      <c r="R26" s="487">
        <v>156.53999999999985</v>
      </c>
      <c r="S26" s="487">
        <v>156.53999999999985</v>
      </c>
      <c r="T26" s="487">
        <v>156.53999999999985</v>
      </c>
      <c r="U26" s="487">
        <v>156.53999999999985</v>
      </c>
      <c r="V26" s="487">
        <v>156.53999999999985</v>
      </c>
      <c r="W26" s="99">
        <f>((W25/W27)/7)*1000</f>
        <v>156.54153187936973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560</v>
      </c>
      <c r="E27" s="27">
        <v>128</v>
      </c>
      <c r="F27" s="27">
        <v>567</v>
      </c>
      <c r="G27" s="27">
        <v>555</v>
      </c>
      <c r="H27" s="28">
        <v>571</v>
      </c>
      <c r="I27" s="26">
        <v>595</v>
      </c>
      <c r="J27" s="27">
        <v>588</v>
      </c>
      <c r="K27" s="27">
        <v>601</v>
      </c>
      <c r="L27" s="27">
        <v>155</v>
      </c>
      <c r="M27" s="27">
        <v>590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10952</v>
      </c>
    </row>
    <row r="28" spans="1:25" s="2" customFormat="1" ht="33" customHeight="1" x14ac:dyDescent="0.25">
      <c r="A28" s="150" t="s">
        <v>13</v>
      </c>
      <c r="B28" s="30">
        <f>(((((B26*7)*B27)/1000))/7)</f>
        <v>87.975479999999919</v>
      </c>
      <c r="C28" s="30">
        <f t="shared" ref="C28:V28" si="2">(((((C26*7)*C27)/1000))/7)</f>
        <v>88.288559999999919</v>
      </c>
      <c r="D28" s="30">
        <f t="shared" si="2"/>
        <v>87.662399999999906</v>
      </c>
      <c r="E28" s="30">
        <f t="shared" si="2"/>
        <v>20.03711999999998</v>
      </c>
      <c r="F28" s="30">
        <f t="shared" si="2"/>
        <v>88.758179999999911</v>
      </c>
      <c r="G28" s="30">
        <f t="shared" si="2"/>
        <v>86.879699999999914</v>
      </c>
      <c r="H28" s="30">
        <f t="shared" si="2"/>
        <v>89.384339999999909</v>
      </c>
      <c r="I28" s="30">
        <f t="shared" si="2"/>
        <v>93.141299999999902</v>
      </c>
      <c r="J28" s="30">
        <f t="shared" si="2"/>
        <v>92.045519999999897</v>
      </c>
      <c r="K28" s="30">
        <f t="shared" si="2"/>
        <v>94.080539999999914</v>
      </c>
      <c r="L28" s="30">
        <f t="shared" si="2"/>
        <v>24.263699999999975</v>
      </c>
      <c r="M28" s="30">
        <f t="shared" si="2"/>
        <v>92.358599999999896</v>
      </c>
      <c r="N28" s="30">
        <f t="shared" si="2"/>
        <v>93.297839999999908</v>
      </c>
      <c r="O28" s="30">
        <f t="shared" si="2"/>
        <v>93.7674599999999</v>
      </c>
      <c r="P28" s="30">
        <f t="shared" si="2"/>
        <v>93.454379999999901</v>
      </c>
      <c r="Q28" s="30">
        <f t="shared" si="2"/>
        <v>94.550159999999892</v>
      </c>
      <c r="R28" s="30">
        <f t="shared" si="2"/>
        <v>93.297839999999908</v>
      </c>
      <c r="S28" s="30">
        <f t="shared" si="2"/>
        <v>20.506739999999979</v>
      </c>
      <c r="T28" s="30">
        <f t="shared" si="2"/>
        <v>94.393619999999899</v>
      </c>
      <c r="U28" s="30">
        <f t="shared" si="2"/>
        <v>92.984759999999909</v>
      </c>
      <c r="V28" s="30">
        <f t="shared" si="2"/>
        <v>93.297839999999908</v>
      </c>
      <c r="W28" s="362">
        <f>((W25*1000)/7)/W27</f>
        <v>156.5415318793697</v>
      </c>
    </row>
    <row r="29" spans="1:25" ht="33.75" customHeight="1" x14ac:dyDescent="0.25">
      <c r="A29" s="151" t="s">
        <v>14</v>
      </c>
      <c r="B29" s="281">
        <f>((B27*B26)*7)/1000</f>
        <v>615.82835999999941</v>
      </c>
      <c r="C29" s="282">
        <f>((C27*C26)*7)/1000</f>
        <v>618.01991999999939</v>
      </c>
      <c r="D29" s="282">
        <f t="shared" ref="D29:V29" si="3">((D27*D26)*7)/1000</f>
        <v>613.63679999999943</v>
      </c>
      <c r="E29" s="282">
        <f t="shared" si="3"/>
        <v>140.25983999999985</v>
      </c>
      <c r="F29" s="282">
        <f t="shared" si="3"/>
        <v>621.30725999999947</v>
      </c>
      <c r="G29" s="282">
        <f t="shared" si="3"/>
        <v>608.15789999999936</v>
      </c>
      <c r="H29" s="284">
        <f t="shared" si="3"/>
        <v>625.69037999999944</v>
      </c>
      <c r="I29" s="281">
        <f t="shared" si="3"/>
        <v>651.98909999999944</v>
      </c>
      <c r="J29" s="282">
        <f t="shared" si="3"/>
        <v>644.31863999999939</v>
      </c>
      <c r="K29" s="282">
        <f t="shared" si="3"/>
        <v>658.56377999999938</v>
      </c>
      <c r="L29" s="282">
        <f t="shared" si="3"/>
        <v>169.84589999999983</v>
      </c>
      <c r="M29" s="282">
        <f t="shared" si="3"/>
        <v>646.51019999999949</v>
      </c>
      <c r="N29" s="282">
        <f t="shared" si="3"/>
        <v>653.08487999999943</v>
      </c>
      <c r="O29" s="284">
        <f t="shared" si="3"/>
        <v>656.37221999999929</v>
      </c>
      <c r="P29" s="281">
        <f t="shared" si="3"/>
        <v>654.18065999999942</v>
      </c>
      <c r="Q29" s="282">
        <f t="shared" si="3"/>
        <v>661.85111999999947</v>
      </c>
      <c r="R29" s="282">
        <f t="shared" si="3"/>
        <v>653.08487999999943</v>
      </c>
      <c r="S29" s="282">
        <f t="shared" si="3"/>
        <v>143.54717999999986</v>
      </c>
      <c r="T29" s="282">
        <f t="shared" si="3"/>
        <v>660.75533999999936</v>
      </c>
      <c r="U29" s="282">
        <f t="shared" si="3"/>
        <v>650.89331999999933</v>
      </c>
      <c r="V29" s="284">
        <f t="shared" si="3"/>
        <v>653.08487999999943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156.53279105236399</v>
      </c>
      <c r="C30" s="38">
        <f t="shared" ref="C30:V30" si="4">+(C25/C27)/7*1000</f>
        <v>156.53495440729483</v>
      </c>
      <c r="D30" s="38">
        <f t="shared" si="4"/>
        <v>156.53061224489798</v>
      </c>
      <c r="E30" s="38">
        <f t="shared" si="4"/>
        <v>156.58482142857144</v>
      </c>
      <c r="F30" s="38">
        <f t="shared" si="4"/>
        <v>156.53817082388511</v>
      </c>
      <c r="G30" s="38">
        <f t="shared" si="4"/>
        <v>156.55083655083655</v>
      </c>
      <c r="H30" s="39">
        <f t="shared" si="4"/>
        <v>156.54240680510384</v>
      </c>
      <c r="I30" s="37">
        <f t="shared" si="4"/>
        <v>156.54261704681875</v>
      </c>
      <c r="J30" s="38">
        <f t="shared" si="4"/>
        <v>156.53547133138972</v>
      </c>
      <c r="K30" s="38">
        <f t="shared" si="4"/>
        <v>156.54860946042311</v>
      </c>
      <c r="L30" s="38">
        <f t="shared" si="4"/>
        <v>156.49769585253458</v>
      </c>
      <c r="M30" s="38">
        <f t="shared" si="4"/>
        <v>156.53753026634385</v>
      </c>
      <c r="N30" s="38">
        <f t="shared" si="4"/>
        <v>156.54362416107381</v>
      </c>
      <c r="O30" s="39">
        <f t="shared" si="4"/>
        <v>156.5466253279275</v>
      </c>
      <c r="P30" s="37">
        <f t="shared" si="4"/>
        <v>156.54462790141179</v>
      </c>
      <c r="Q30" s="38">
        <f t="shared" si="4"/>
        <v>156.55156102175968</v>
      </c>
      <c r="R30" s="38">
        <f t="shared" si="4"/>
        <v>156.54362416107381</v>
      </c>
      <c r="S30" s="38">
        <f t="shared" si="4"/>
        <v>156.48854961832063</v>
      </c>
      <c r="T30" s="38">
        <f t="shared" si="4"/>
        <v>156.55058043117745</v>
      </c>
      <c r="U30" s="38">
        <f t="shared" si="4"/>
        <v>156.54160654160654</v>
      </c>
      <c r="V30" s="39">
        <f t="shared" si="4"/>
        <v>156.54362416107381</v>
      </c>
      <c r="W30" s="40"/>
    </row>
    <row r="31" spans="1:25" ht="33.75" customHeight="1" x14ac:dyDescent="0.25">
      <c r="A31" s="41"/>
      <c r="B31" s="42">
        <f>B29-B25</f>
        <v>2.8359999999452157E-2</v>
      </c>
      <c r="C31" s="42">
        <f t="shared" ref="C31:V32" si="5">C29-C25</f>
        <v>1.9919999999387983E-2</v>
      </c>
      <c r="D31" s="42">
        <f t="shared" si="5"/>
        <v>3.6799999999402644E-2</v>
      </c>
      <c r="E31" s="42">
        <f t="shared" si="5"/>
        <v>-4.0160000000156515E-2</v>
      </c>
      <c r="F31" s="42">
        <f t="shared" si="5"/>
        <v>7.2599999995190956E-3</v>
      </c>
      <c r="G31" s="42">
        <f t="shared" si="5"/>
        <v>-4.2100000000573345E-2</v>
      </c>
      <c r="H31" s="42">
        <f t="shared" si="5"/>
        <v>-9.6200000006092523E-3</v>
      </c>
      <c r="I31" s="42">
        <f t="shared" si="5"/>
        <v>-1.0900000000560794E-2</v>
      </c>
      <c r="J31" s="42">
        <f t="shared" si="5"/>
        <v>1.8639999999436441E-2</v>
      </c>
      <c r="K31" s="42">
        <f t="shared" si="5"/>
        <v>-3.6220000000639629E-2</v>
      </c>
      <c r="L31" s="42">
        <f t="shared" si="5"/>
        <v>4.5899999999846841E-2</v>
      </c>
      <c r="M31" s="42">
        <f t="shared" si="5"/>
        <v>1.0199999999485954E-2</v>
      </c>
      <c r="N31" s="42">
        <f t="shared" si="5"/>
        <v>-1.5120000000479195E-2</v>
      </c>
      <c r="O31" s="42">
        <f t="shared" si="5"/>
        <v>-2.7780000000802829E-2</v>
      </c>
      <c r="P31" s="42">
        <f t="shared" si="5"/>
        <v>-1.9340000000511282E-2</v>
      </c>
      <c r="Q31" s="42">
        <f t="shared" si="5"/>
        <v>-4.8880000000508517E-2</v>
      </c>
      <c r="R31" s="42">
        <f t="shared" si="5"/>
        <v>-1.5120000000479195E-2</v>
      </c>
      <c r="S31" s="42">
        <f t="shared" si="5"/>
        <v>4.7179999999855227E-2</v>
      </c>
      <c r="T31" s="42">
        <f t="shared" si="5"/>
        <v>-4.4660000000590117E-2</v>
      </c>
      <c r="U31" s="42">
        <f t="shared" si="5"/>
        <v>-6.6800000006423943E-3</v>
      </c>
      <c r="V31" s="42">
        <f t="shared" si="5"/>
        <v>-1.5120000000479195E-2</v>
      </c>
      <c r="W31" s="42"/>
      <c r="X31" s="42"/>
    </row>
    <row r="32" spans="1:25" ht="33.75" customHeight="1" x14ac:dyDescent="0.25">
      <c r="A32" s="41"/>
      <c r="B32" s="42">
        <f>B30-B26</f>
        <v>-7.2089476358598858E-3</v>
      </c>
      <c r="C32" s="42">
        <f t="shared" si="5"/>
        <v>-5.0455927050165883E-3</v>
      </c>
      <c r="D32" s="42">
        <f t="shared" si="5"/>
        <v>-9.3877551018692884E-3</v>
      </c>
      <c r="E32" s="42">
        <f t="shared" si="5"/>
        <v>4.4821428571594879E-2</v>
      </c>
      <c r="F32" s="42">
        <f t="shared" si="5"/>
        <v>-1.8291761147395391E-3</v>
      </c>
      <c r="G32" s="42">
        <f t="shared" si="5"/>
        <v>1.0836550836700098E-2</v>
      </c>
      <c r="H32" s="42">
        <f t="shared" si="5"/>
        <v>2.4068051039876082E-3</v>
      </c>
      <c r="I32" s="42">
        <f t="shared" si="5"/>
        <v>2.6170468188979612E-3</v>
      </c>
      <c r="J32" s="42">
        <f t="shared" si="5"/>
        <v>-4.5286686101349005E-3</v>
      </c>
      <c r="K32" s="42">
        <f t="shared" si="5"/>
        <v>8.609460423258497E-3</v>
      </c>
      <c r="L32" s="42">
        <f t="shared" si="5"/>
        <v>-4.2304147465273445E-2</v>
      </c>
      <c r="M32" s="42">
        <f t="shared" si="5"/>
        <v>-2.469733655999562E-3</v>
      </c>
      <c r="N32" s="42">
        <f t="shared" si="5"/>
        <v>3.624161073958021E-3</v>
      </c>
      <c r="O32" s="42">
        <f t="shared" si="5"/>
        <v>6.6253279276509147E-3</v>
      </c>
      <c r="P32" s="42">
        <f t="shared" si="5"/>
        <v>4.6279014119363637E-3</v>
      </c>
      <c r="Q32" s="42">
        <f>Q30-Q26</f>
        <v>1.1561021759831647E-2</v>
      </c>
      <c r="R32" s="42">
        <f t="shared" si="5"/>
        <v>3.624161073958021E-3</v>
      </c>
      <c r="S32" s="42">
        <f t="shared" si="5"/>
        <v>-5.1450381679217116E-2</v>
      </c>
      <c r="T32" s="42">
        <f t="shared" si="5"/>
        <v>1.0580431177601213E-2</v>
      </c>
      <c r="U32" s="42">
        <f t="shared" si="5"/>
        <v>1.6065416066908256E-3</v>
      </c>
      <c r="V32" s="42">
        <f t="shared" si="5"/>
        <v>3.624161073958021E-3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83.9</v>
      </c>
      <c r="C39" s="282">
        <v>85</v>
      </c>
      <c r="D39" s="282">
        <v>9.8000000000000007</v>
      </c>
      <c r="E39" s="282">
        <v>87.6</v>
      </c>
      <c r="F39" s="282">
        <v>87.4</v>
      </c>
      <c r="G39" s="284">
        <v>89</v>
      </c>
      <c r="H39" s="540">
        <f t="shared" ref="H39:H46" si="6">SUM(B39:G39)</f>
        <v>442.70000000000005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83.9</v>
      </c>
      <c r="C40" s="282">
        <v>84.8</v>
      </c>
      <c r="D40" s="282">
        <v>9.8000000000000007</v>
      </c>
      <c r="E40" s="282">
        <v>87.6</v>
      </c>
      <c r="F40" s="282">
        <v>87.4</v>
      </c>
      <c r="G40" s="284">
        <v>89</v>
      </c>
      <c r="H40" s="539">
        <f t="shared" si="6"/>
        <v>442.5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83.8</v>
      </c>
      <c r="C41" s="282">
        <v>84.7</v>
      </c>
      <c r="D41" s="282">
        <v>9.8000000000000007</v>
      </c>
      <c r="E41" s="282">
        <v>87.6</v>
      </c>
      <c r="F41" s="282">
        <v>87.3</v>
      </c>
      <c r="G41" s="284">
        <v>89</v>
      </c>
      <c r="H41" s="539">
        <f t="shared" si="6"/>
        <v>442.2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83.6</v>
      </c>
      <c r="C42" s="282">
        <v>84.2</v>
      </c>
      <c r="D42" s="282">
        <v>9.1999999999999993</v>
      </c>
      <c r="E42" s="282">
        <v>87.6</v>
      </c>
      <c r="F42" s="282">
        <v>87.2</v>
      </c>
      <c r="G42" s="284">
        <v>88.9</v>
      </c>
      <c r="H42" s="539">
        <f t="shared" si="6"/>
        <v>440.70000000000005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83.5</v>
      </c>
      <c r="C43" s="282">
        <v>84.2</v>
      </c>
      <c r="D43" s="282">
        <v>9.1999999999999993</v>
      </c>
      <c r="E43" s="282">
        <v>87.5</v>
      </c>
      <c r="F43" s="282">
        <v>87.2</v>
      </c>
      <c r="G43" s="284">
        <v>88.9</v>
      </c>
      <c r="H43" s="539">
        <f t="shared" si="6"/>
        <v>440.5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83.5</v>
      </c>
      <c r="C44" s="282">
        <v>84.2</v>
      </c>
      <c r="D44" s="282">
        <v>9.1999999999999993</v>
      </c>
      <c r="E44" s="282">
        <v>87.5</v>
      </c>
      <c r="F44" s="282">
        <v>87.1</v>
      </c>
      <c r="G44" s="284">
        <v>88.9</v>
      </c>
      <c r="H44" s="264">
        <f t="shared" si="6"/>
        <v>440.4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83.5</v>
      </c>
      <c r="C45" s="282">
        <v>84.1</v>
      </c>
      <c r="D45" s="282">
        <v>9.1999999999999993</v>
      </c>
      <c r="E45" s="282">
        <v>87.5</v>
      </c>
      <c r="F45" s="282">
        <v>87.1</v>
      </c>
      <c r="G45" s="284">
        <v>88.9</v>
      </c>
      <c r="H45" s="265">
        <f t="shared" si="6"/>
        <v>440.29999999999995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585.70000000000005</v>
      </c>
      <c r="C46" s="120">
        <f t="shared" si="8"/>
        <v>591.19999999999993</v>
      </c>
      <c r="D46" s="120">
        <f>SUM(D39:D45)</f>
        <v>66.2</v>
      </c>
      <c r="E46" s="120">
        <f t="shared" si="8"/>
        <v>612.9</v>
      </c>
      <c r="F46" s="120">
        <f t="shared" si="8"/>
        <v>610.70000000000005</v>
      </c>
      <c r="G46" s="121">
        <f t="shared" si="8"/>
        <v>622.59999999999991</v>
      </c>
      <c r="H46" s="560">
        <f t="shared" si="6"/>
        <v>3089.2999999999997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154.95999999999995</v>
      </c>
      <c r="C47" s="555">
        <v>154.95999999999995</v>
      </c>
      <c r="D47" s="555">
        <v>154.95999999999995</v>
      </c>
      <c r="E47" s="555">
        <v>154.95999999999995</v>
      </c>
      <c r="F47" s="555">
        <v>154.95999999999995</v>
      </c>
      <c r="G47" s="555">
        <v>154.95999999999995</v>
      </c>
      <c r="H47" s="234">
        <f>+((H46/H48)/7)*1000</f>
        <v>154.96087479935792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540</v>
      </c>
      <c r="C48" s="27">
        <v>545</v>
      </c>
      <c r="D48" s="27">
        <v>61</v>
      </c>
      <c r="E48" s="27">
        <v>565</v>
      </c>
      <c r="F48" s="27">
        <v>563</v>
      </c>
      <c r="G48" s="28">
        <v>574</v>
      </c>
      <c r="H48" s="256">
        <f>SUM(B48:G48)</f>
        <v>2848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83.678399999999982</v>
      </c>
      <c r="C49" s="30">
        <f t="shared" ref="C49:G49" si="10">(((((C47*7)*C48)/1000)/7))</f>
        <v>84.453199999999967</v>
      </c>
      <c r="D49" s="30">
        <f t="shared" si="10"/>
        <v>9.4525599999999947</v>
      </c>
      <c r="E49" s="30">
        <f t="shared" si="10"/>
        <v>87.552399999999963</v>
      </c>
      <c r="F49" s="30">
        <f t="shared" si="10"/>
        <v>87.242479999999972</v>
      </c>
      <c r="G49" s="30">
        <f t="shared" si="10"/>
        <v>88.947039999999973</v>
      </c>
      <c r="H49" s="257">
        <f>((H46*1000)/H48)/7</f>
        <v>154.96087479935792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585.74879999999985</v>
      </c>
      <c r="C50" s="282">
        <f t="shared" ref="C50:G50" si="12">((C48*C47)*7)/1000</f>
        <v>591.17239999999981</v>
      </c>
      <c r="D50" s="282">
        <f t="shared" si="12"/>
        <v>66.167919999999981</v>
      </c>
      <c r="E50" s="282">
        <f t="shared" si="12"/>
        <v>612.86679999999978</v>
      </c>
      <c r="F50" s="282">
        <f t="shared" si="12"/>
        <v>610.69735999999978</v>
      </c>
      <c r="G50" s="284">
        <f t="shared" si="12"/>
        <v>622.62927999999977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154.94708994708995</v>
      </c>
      <c r="C51" s="38">
        <f t="shared" si="14"/>
        <v>154.96723460026212</v>
      </c>
      <c r="D51" s="38">
        <f t="shared" si="14"/>
        <v>155.03512880562062</v>
      </c>
      <c r="E51" s="38">
        <f t="shared" si="14"/>
        <v>154.96839443742098</v>
      </c>
      <c r="F51" s="38">
        <f t="shared" si="14"/>
        <v>154.96066988074091</v>
      </c>
      <c r="G51" s="39">
        <f t="shared" si="14"/>
        <v>154.95271279243403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4.8799999999801003E-2</v>
      </c>
      <c r="C52" s="42">
        <f t="shared" ref="C52:G53" si="16">C50-C46</f>
        <v>-2.7600000000120417E-2</v>
      </c>
      <c r="D52" s="42">
        <f t="shared" si="16"/>
        <v>-3.2080000000021869E-2</v>
      </c>
      <c r="E52" s="42">
        <f t="shared" si="16"/>
        <v>-3.3200000000192631E-2</v>
      </c>
      <c r="F52" s="42">
        <f t="shared" si="16"/>
        <v>-2.6400000002695378E-3</v>
      </c>
      <c r="G52" s="42">
        <f t="shared" si="16"/>
        <v>2.9279999999857864E-2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-1.2910052910001468E-2</v>
      </c>
      <c r="C53" s="42">
        <f t="shared" si="16"/>
        <v>7.2346002621657135E-3</v>
      </c>
      <c r="D53" s="42">
        <f t="shared" si="16"/>
        <v>7.5128805620664707E-2</v>
      </c>
      <c r="E53" s="42">
        <f t="shared" si="16"/>
        <v>8.3944374210318529E-3</v>
      </c>
      <c r="F53" s="42">
        <f t="shared" si="16"/>
        <v>6.6988074095775119E-4</v>
      </c>
      <c r="G53" s="42">
        <f t="shared" si="16"/>
        <v>-7.2872075659233815E-3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061"/>
      <c r="C54" s="1061"/>
      <c r="D54" s="106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64"/>
  <dimension ref="A1:Y237"/>
  <sheetViews>
    <sheetView topLeftCell="A30" zoomScale="29" zoomScaleNormal="25" workbookViewId="0">
      <selection activeCell="D76" sqref="D7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48</v>
      </c>
      <c r="Q11" s="1022"/>
      <c r="R11" s="6"/>
      <c r="S11" s="1" t="s">
        <v>6</v>
      </c>
      <c r="T11" s="95">
        <v>45707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87.7</v>
      </c>
      <c r="C18" s="282">
        <v>88</v>
      </c>
      <c r="D18" s="282">
        <v>87.1</v>
      </c>
      <c r="E18" s="282">
        <v>19.399999999999999</v>
      </c>
      <c r="F18" s="282">
        <v>88.4</v>
      </c>
      <c r="G18" s="282">
        <v>86.6</v>
      </c>
      <c r="H18" s="284">
        <v>89</v>
      </c>
      <c r="I18" s="285">
        <v>92.9</v>
      </c>
      <c r="J18" s="282">
        <v>91.8</v>
      </c>
      <c r="K18" s="282">
        <v>93.8</v>
      </c>
      <c r="L18" s="282">
        <v>24.1</v>
      </c>
      <c r="M18" s="282">
        <v>91.9</v>
      </c>
      <c r="N18" s="282">
        <v>93</v>
      </c>
      <c r="O18" s="282">
        <v>93.5</v>
      </c>
      <c r="P18" s="281">
        <v>93.2</v>
      </c>
      <c r="Q18" s="282">
        <v>94.3</v>
      </c>
      <c r="R18" s="282">
        <v>92.9</v>
      </c>
      <c r="S18" s="282">
        <v>20.5</v>
      </c>
      <c r="T18" s="282">
        <v>94</v>
      </c>
      <c r="U18" s="282">
        <v>92.7</v>
      </c>
      <c r="V18" s="284">
        <v>93</v>
      </c>
      <c r="W18" s="595">
        <f t="shared" ref="W18:W24" si="0">SUM(B18:V18)</f>
        <v>1707.8</v>
      </c>
    </row>
    <row r="19" spans="1:25" ht="39.950000000000003" customHeight="1" x14ac:dyDescent="0.25">
      <c r="A19" s="146" t="s">
        <v>24</v>
      </c>
      <c r="B19" s="281">
        <v>87.7</v>
      </c>
      <c r="C19" s="282">
        <v>88</v>
      </c>
      <c r="D19" s="282">
        <v>87.1</v>
      </c>
      <c r="E19" s="282">
        <v>19.399999999999999</v>
      </c>
      <c r="F19" s="282">
        <v>88.3</v>
      </c>
      <c r="G19" s="282">
        <v>86.6</v>
      </c>
      <c r="H19" s="284">
        <v>89</v>
      </c>
      <c r="I19" s="285">
        <v>92.7</v>
      </c>
      <c r="J19" s="282">
        <v>91.8</v>
      </c>
      <c r="K19" s="282">
        <v>93.8</v>
      </c>
      <c r="L19" s="282">
        <v>24.1</v>
      </c>
      <c r="M19" s="282">
        <v>91.9</v>
      </c>
      <c r="N19" s="282">
        <v>92.7</v>
      </c>
      <c r="O19" s="282">
        <v>93.5</v>
      </c>
      <c r="P19" s="281">
        <v>93.2</v>
      </c>
      <c r="Q19" s="282">
        <v>94.3</v>
      </c>
      <c r="R19" s="282">
        <v>92.9</v>
      </c>
      <c r="S19" s="282">
        <v>20.3</v>
      </c>
      <c r="T19" s="282">
        <v>94</v>
      </c>
      <c r="U19" s="282">
        <v>92.7</v>
      </c>
      <c r="V19" s="284">
        <v>93</v>
      </c>
      <c r="W19" s="98">
        <f>SUM(B19:V19)</f>
        <v>1707</v>
      </c>
    </row>
    <row r="20" spans="1:25" ht="39.75" customHeight="1" x14ac:dyDescent="0.25">
      <c r="A20" s="146" t="s">
        <v>20</v>
      </c>
      <c r="B20" s="281">
        <v>87.7</v>
      </c>
      <c r="C20" s="282">
        <v>88</v>
      </c>
      <c r="D20" s="282">
        <v>87.1</v>
      </c>
      <c r="E20" s="282">
        <v>19.399999999999999</v>
      </c>
      <c r="F20" s="282">
        <v>88.3</v>
      </c>
      <c r="G20" s="282">
        <v>86.6</v>
      </c>
      <c r="H20" s="284">
        <v>88.9</v>
      </c>
      <c r="I20" s="285">
        <v>92.7</v>
      </c>
      <c r="J20" s="282">
        <v>91.8</v>
      </c>
      <c r="K20" s="282">
        <v>93.8</v>
      </c>
      <c r="L20" s="282">
        <v>24</v>
      </c>
      <c r="M20" s="282">
        <v>91.9</v>
      </c>
      <c r="N20" s="282">
        <v>92.6</v>
      </c>
      <c r="O20" s="282">
        <v>93.5</v>
      </c>
      <c r="P20" s="281">
        <v>93.2</v>
      </c>
      <c r="Q20" s="282">
        <v>94.3</v>
      </c>
      <c r="R20" s="282">
        <v>92.8</v>
      </c>
      <c r="S20" s="282">
        <v>20.3</v>
      </c>
      <c r="T20" s="282">
        <v>93.9</v>
      </c>
      <c r="U20" s="282">
        <v>92.7</v>
      </c>
      <c r="V20" s="284">
        <v>93</v>
      </c>
      <c r="W20" s="98">
        <f t="shared" si="0"/>
        <v>1706.4999999999998</v>
      </c>
    </row>
    <row r="21" spans="1:25" ht="39.950000000000003" customHeight="1" x14ac:dyDescent="0.25">
      <c r="A21" s="146" t="s">
        <v>28</v>
      </c>
      <c r="B21" s="281">
        <v>87.7</v>
      </c>
      <c r="C21" s="282">
        <v>88</v>
      </c>
      <c r="D21" s="282">
        <v>87.1</v>
      </c>
      <c r="E21" s="282">
        <v>19.3</v>
      </c>
      <c r="F21" s="282">
        <v>88.3</v>
      </c>
      <c r="G21" s="282">
        <v>86.6</v>
      </c>
      <c r="H21" s="284">
        <v>88.9</v>
      </c>
      <c r="I21" s="285">
        <v>92.6</v>
      </c>
      <c r="J21" s="282">
        <v>91.7</v>
      </c>
      <c r="K21" s="282">
        <v>93.8</v>
      </c>
      <c r="L21" s="282">
        <v>24</v>
      </c>
      <c r="M21" s="282">
        <v>91.9</v>
      </c>
      <c r="N21" s="282">
        <v>92.6</v>
      </c>
      <c r="O21" s="282">
        <v>93.5</v>
      </c>
      <c r="P21" s="281">
        <v>93.1</v>
      </c>
      <c r="Q21" s="282">
        <v>94.2</v>
      </c>
      <c r="R21" s="282">
        <v>92.8</v>
      </c>
      <c r="S21" s="282">
        <v>20.3</v>
      </c>
      <c r="T21" s="282">
        <v>93.9</v>
      </c>
      <c r="U21" s="282">
        <v>92.7</v>
      </c>
      <c r="V21" s="284">
        <v>93</v>
      </c>
      <c r="W21" s="98">
        <f t="shared" si="0"/>
        <v>1706</v>
      </c>
    </row>
    <row r="22" spans="1:25" ht="39.950000000000003" customHeight="1" x14ac:dyDescent="0.25">
      <c r="A22" s="146" t="s">
        <v>21</v>
      </c>
      <c r="B22" s="281">
        <v>87.7</v>
      </c>
      <c r="C22" s="282">
        <v>88</v>
      </c>
      <c r="D22" s="282">
        <v>87</v>
      </c>
      <c r="E22" s="282">
        <v>19.3</v>
      </c>
      <c r="F22" s="282">
        <v>88.3</v>
      </c>
      <c r="G22" s="282">
        <v>86.6</v>
      </c>
      <c r="H22" s="284">
        <v>88.9</v>
      </c>
      <c r="I22" s="285">
        <v>92.6</v>
      </c>
      <c r="J22" s="282">
        <v>91.7</v>
      </c>
      <c r="K22" s="282">
        <v>93.8</v>
      </c>
      <c r="L22" s="282">
        <v>24</v>
      </c>
      <c r="M22" s="282">
        <v>91.9</v>
      </c>
      <c r="N22" s="282">
        <v>92.6</v>
      </c>
      <c r="O22" s="282">
        <v>93.4</v>
      </c>
      <c r="P22" s="281">
        <v>93.1</v>
      </c>
      <c r="Q22" s="282">
        <v>94.2</v>
      </c>
      <c r="R22" s="282">
        <v>92.8</v>
      </c>
      <c r="S22" s="282">
        <v>20.2</v>
      </c>
      <c r="T22" s="282">
        <v>93.9</v>
      </c>
      <c r="U22" s="282">
        <v>92.7</v>
      </c>
      <c r="V22" s="284">
        <v>93</v>
      </c>
      <c r="W22" s="98">
        <f t="shared" si="0"/>
        <v>1705.7</v>
      </c>
    </row>
    <row r="23" spans="1:25" ht="39.950000000000003" customHeight="1" x14ac:dyDescent="0.25">
      <c r="A23" s="146" t="s">
        <v>22</v>
      </c>
      <c r="B23" s="281">
        <v>87.7</v>
      </c>
      <c r="C23" s="282">
        <v>88</v>
      </c>
      <c r="D23" s="282">
        <v>87</v>
      </c>
      <c r="E23" s="282">
        <v>19.3</v>
      </c>
      <c r="F23" s="282">
        <v>88.3</v>
      </c>
      <c r="G23" s="282">
        <v>86.6</v>
      </c>
      <c r="H23" s="284">
        <v>88.9</v>
      </c>
      <c r="I23" s="285">
        <v>92.6</v>
      </c>
      <c r="J23" s="282">
        <v>91.7</v>
      </c>
      <c r="K23" s="282">
        <v>93.7</v>
      </c>
      <c r="L23" s="282">
        <v>24</v>
      </c>
      <c r="M23" s="282">
        <v>91.9</v>
      </c>
      <c r="N23" s="282">
        <v>92.6</v>
      </c>
      <c r="O23" s="282">
        <v>93.4</v>
      </c>
      <c r="P23" s="281">
        <v>93.1</v>
      </c>
      <c r="Q23" s="282">
        <v>94.2</v>
      </c>
      <c r="R23" s="282">
        <v>92.8</v>
      </c>
      <c r="S23" s="282">
        <v>20.2</v>
      </c>
      <c r="T23" s="282">
        <v>93.9</v>
      </c>
      <c r="U23" s="282">
        <v>92.6</v>
      </c>
      <c r="V23" s="284">
        <v>93</v>
      </c>
      <c r="W23" s="98">
        <f t="shared" si="0"/>
        <v>1705.5</v>
      </c>
    </row>
    <row r="24" spans="1:25" ht="39.950000000000003" customHeight="1" thickBot="1" x14ac:dyDescent="0.3">
      <c r="A24" s="146" t="s">
        <v>23</v>
      </c>
      <c r="B24" s="281">
        <v>87.6</v>
      </c>
      <c r="C24" s="282">
        <v>88</v>
      </c>
      <c r="D24" s="282">
        <v>87</v>
      </c>
      <c r="E24" s="282">
        <v>19.3</v>
      </c>
      <c r="F24" s="282">
        <v>88.3</v>
      </c>
      <c r="G24" s="282">
        <v>86.5</v>
      </c>
      <c r="H24" s="284">
        <v>88.9</v>
      </c>
      <c r="I24" s="285">
        <v>92.6</v>
      </c>
      <c r="J24" s="282">
        <v>91.7</v>
      </c>
      <c r="K24" s="282">
        <v>93.7</v>
      </c>
      <c r="L24" s="282">
        <v>24</v>
      </c>
      <c r="M24" s="282">
        <v>91.9</v>
      </c>
      <c r="N24" s="282">
        <v>92.6</v>
      </c>
      <c r="O24" s="282">
        <v>93.4</v>
      </c>
      <c r="P24" s="281">
        <v>93.1</v>
      </c>
      <c r="Q24" s="282">
        <v>94.2</v>
      </c>
      <c r="R24" s="282">
        <v>92.8</v>
      </c>
      <c r="S24" s="282">
        <v>20.2</v>
      </c>
      <c r="T24" s="282">
        <v>93.9</v>
      </c>
      <c r="U24" s="282">
        <v>92.6</v>
      </c>
      <c r="V24" s="284">
        <v>92.9</v>
      </c>
      <c r="W24" s="98">
        <f t="shared" si="0"/>
        <v>1705.2000000000003</v>
      </c>
    </row>
    <row r="25" spans="1:25" ht="41.45" customHeight="1" x14ac:dyDescent="0.25">
      <c r="A25" s="182" t="s">
        <v>9</v>
      </c>
      <c r="B25" s="122">
        <f>SUM(B18:B24)</f>
        <v>613.80000000000007</v>
      </c>
      <c r="C25" s="120">
        <f>SUM(C18:C24)</f>
        <v>616</v>
      </c>
      <c r="D25" s="120">
        <f t="shared" ref="D25:V25" si="1">SUM(D18:D24)</f>
        <v>609.4</v>
      </c>
      <c r="E25" s="120">
        <f>SUM(E18:E24)</f>
        <v>135.4</v>
      </c>
      <c r="F25" s="120">
        <f t="shared" si="1"/>
        <v>618.19999999999993</v>
      </c>
      <c r="G25" s="120">
        <f t="shared" si="1"/>
        <v>606.1</v>
      </c>
      <c r="H25" s="121">
        <f t="shared" si="1"/>
        <v>622.49999999999989</v>
      </c>
      <c r="I25" s="122">
        <f t="shared" si="1"/>
        <v>648.70000000000005</v>
      </c>
      <c r="J25" s="120">
        <f t="shared" si="1"/>
        <v>642.20000000000005</v>
      </c>
      <c r="K25" s="120">
        <f t="shared" si="1"/>
        <v>656.40000000000009</v>
      </c>
      <c r="L25" s="120">
        <f t="shared" si="1"/>
        <v>168.2</v>
      </c>
      <c r="M25" s="120">
        <f t="shared" si="1"/>
        <v>643.29999999999995</v>
      </c>
      <c r="N25" s="120">
        <f t="shared" si="1"/>
        <v>648.70000000000005</v>
      </c>
      <c r="O25" s="121">
        <f t="shared" si="1"/>
        <v>654.19999999999993</v>
      </c>
      <c r="P25" s="122">
        <f t="shared" si="1"/>
        <v>652.00000000000011</v>
      </c>
      <c r="Q25" s="120">
        <f t="shared" si="1"/>
        <v>659.7</v>
      </c>
      <c r="R25" s="120">
        <f t="shared" si="1"/>
        <v>649.79999999999995</v>
      </c>
      <c r="S25" s="120">
        <f>SUM(S18:S24)</f>
        <v>142</v>
      </c>
      <c r="T25" s="120">
        <f t="shared" si="1"/>
        <v>657.49999999999989</v>
      </c>
      <c r="U25" s="120">
        <f t="shared" si="1"/>
        <v>648.70000000000005</v>
      </c>
      <c r="V25" s="121">
        <f t="shared" si="1"/>
        <v>650.9</v>
      </c>
      <c r="W25" s="361">
        <f>SUM(W18:W24)</f>
        <v>11943.7</v>
      </c>
    </row>
    <row r="26" spans="1:25" s="2" customFormat="1" ht="36.75" customHeight="1" x14ac:dyDescent="0.25">
      <c r="A26" s="148" t="s">
        <v>11</v>
      </c>
      <c r="B26" s="487">
        <v>156.01999999999984</v>
      </c>
      <c r="C26" s="487">
        <v>156.01999999999984</v>
      </c>
      <c r="D26" s="487">
        <v>156.01999999999984</v>
      </c>
      <c r="E26" s="487">
        <v>156.01999999999984</v>
      </c>
      <c r="F26" s="487">
        <v>156.01999999999984</v>
      </c>
      <c r="G26" s="487">
        <v>156.01999999999984</v>
      </c>
      <c r="H26" s="487">
        <v>156.01999999999984</v>
      </c>
      <c r="I26" s="487">
        <v>156.01999999999984</v>
      </c>
      <c r="J26" s="487">
        <v>156.01999999999984</v>
      </c>
      <c r="K26" s="487">
        <v>156.01999999999984</v>
      </c>
      <c r="L26" s="487">
        <v>156.01999999999984</v>
      </c>
      <c r="M26" s="487">
        <v>156.01999999999984</v>
      </c>
      <c r="N26" s="487">
        <v>156.01999999999984</v>
      </c>
      <c r="O26" s="487">
        <v>156.01999999999984</v>
      </c>
      <c r="P26" s="487">
        <v>156.01999999999984</v>
      </c>
      <c r="Q26" s="487">
        <v>156.01999999999984</v>
      </c>
      <c r="R26" s="487">
        <v>156.01999999999984</v>
      </c>
      <c r="S26" s="487">
        <v>156.01999999999984</v>
      </c>
      <c r="T26" s="487">
        <v>156.01999999999984</v>
      </c>
      <c r="U26" s="487">
        <v>156.01999999999984</v>
      </c>
      <c r="V26" s="487">
        <v>156.01999999999984</v>
      </c>
      <c r="W26" s="99">
        <f>((W25/W27)/7)*1000</f>
        <v>156.02074406939076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558</v>
      </c>
      <c r="E27" s="27">
        <v>124</v>
      </c>
      <c r="F27" s="27">
        <v>566</v>
      </c>
      <c r="G27" s="27">
        <v>555</v>
      </c>
      <c r="H27" s="28">
        <v>570</v>
      </c>
      <c r="I27" s="26">
        <v>594</v>
      </c>
      <c r="J27" s="27">
        <v>588</v>
      </c>
      <c r="K27" s="27">
        <v>601</v>
      </c>
      <c r="L27" s="27">
        <v>154</v>
      </c>
      <c r="M27" s="27">
        <v>589</v>
      </c>
      <c r="N27" s="27">
        <v>594</v>
      </c>
      <c r="O27" s="28">
        <v>599</v>
      </c>
      <c r="P27" s="26">
        <v>597</v>
      </c>
      <c r="Q27" s="27">
        <v>604</v>
      </c>
      <c r="R27" s="27">
        <v>595</v>
      </c>
      <c r="S27" s="27">
        <v>130</v>
      </c>
      <c r="T27" s="27">
        <v>602</v>
      </c>
      <c r="U27" s="27">
        <v>594</v>
      </c>
      <c r="V27" s="28">
        <v>596</v>
      </c>
      <c r="W27" s="29">
        <f>SUM(B27:V27)</f>
        <v>10936</v>
      </c>
    </row>
    <row r="28" spans="1:25" s="2" customFormat="1" ht="33" customHeight="1" x14ac:dyDescent="0.25">
      <c r="A28" s="150" t="s">
        <v>13</v>
      </c>
      <c r="B28" s="30">
        <f>(((((B26*7)*B27)/1000))/7)</f>
        <v>87.683239999999927</v>
      </c>
      <c r="C28" s="30">
        <f t="shared" ref="C28:V28" si="2">(((((C26*7)*C27)/1000))/7)</f>
        <v>87.995279999999909</v>
      </c>
      <c r="D28" s="30">
        <f t="shared" si="2"/>
        <v>87.05915999999992</v>
      </c>
      <c r="E28" s="30">
        <f t="shared" si="2"/>
        <v>19.346479999999982</v>
      </c>
      <c r="F28" s="30">
        <f t="shared" si="2"/>
        <v>88.307319999999919</v>
      </c>
      <c r="G28" s="30">
        <f t="shared" si="2"/>
        <v>86.591099999999912</v>
      </c>
      <c r="H28" s="30">
        <f t="shared" si="2"/>
        <v>88.931399999999925</v>
      </c>
      <c r="I28" s="30">
        <f t="shared" si="2"/>
        <v>92.675879999999907</v>
      </c>
      <c r="J28" s="30">
        <f t="shared" si="2"/>
        <v>91.739759999999919</v>
      </c>
      <c r="K28" s="30">
        <f t="shared" si="2"/>
        <v>93.768019999999908</v>
      </c>
      <c r="L28" s="30">
        <f t="shared" si="2"/>
        <v>24.02707999999998</v>
      </c>
      <c r="M28" s="30">
        <f t="shared" si="2"/>
        <v>91.895779999999917</v>
      </c>
      <c r="N28" s="30">
        <f t="shared" si="2"/>
        <v>92.675879999999907</v>
      </c>
      <c r="O28" s="30">
        <f t="shared" si="2"/>
        <v>93.455979999999926</v>
      </c>
      <c r="P28" s="30">
        <f t="shared" si="2"/>
        <v>93.143939999999915</v>
      </c>
      <c r="Q28" s="30">
        <f t="shared" si="2"/>
        <v>94.236079999999902</v>
      </c>
      <c r="R28" s="30">
        <f t="shared" si="2"/>
        <v>92.831899999999905</v>
      </c>
      <c r="S28" s="30">
        <f t="shared" si="2"/>
        <v>20.282599999999981</v>
      </c>
      <c r="T28" s="30">
        <f t="shared" si="2"/>
        <v>93.924039999999906</v>
      </c>
      <c r="U28" s="30">
        <f t="shared" si="2"/>
        <v>92.675879999999907</v>
      </c>
      <c r="V28" s="30">
        <f t="shared" si="2"/>
        <v>92.987919999999903</v>
      </c>
      <c r="W28" s="362">
        <f>((W25*1000)/7)/W27</f>
        <v>156.02074406939073</v>
      </c>
    </row>
    <row r="29" spans="1:25" ht="33.75" customHeight="1" x14ac:dyDescent="0.25">
      <c r="A29" s="151" t="s">
        <v>14</v>
      </c>
      <c r="B29" s="281">
        <f>((B27*B26)*7)/1000</f>
        <v>613.78267999999935</v>
      </c>
      <c r="C29" s="282">
        <f>((C27*C26)*7)/1000</f>
        <v>615.9669599999994</v>
      </c>
      <c r="D29" s="282">
        <f t="shared" ref="D29:V29" si="3">((D27*D26)*7)/1000</f>
        <v>609.41411999999946</v>
      </c>
      <c r="E29" s="282">
        <f t="shared" si="3"/>
        <v>135.42535999999987</v>
      </c>
      <c r="F29" s="282">
        <f t="shared" si="3"/>
        <v>618.15123999999935</v>
      </c>
      <c r="G29" s="282">
        <f t="shared" si="3"/>
        <v>606.13769999999943</v>
      </c>
      <c r="H29" s="284">
        <f t="shared" si="3"/>
        <v>622.51979999999935</v>
      </c>
      <c r="I29" s="281">
        <f t="shared" si="3"/>
        <v>648.73115999999936</v>
      </c>
      <c r="J29" s="282">
        <f t="shared" si="3"/>
        <v>642.17831999999942</v>
      </c>
      <c r="K29" s="282">
        <f t="shared" si="3"/>
        <v>656.37613999999928</v>
      </c>
      <c r="L29" s="282">
        <f t="shared" si="3"/>
        <v>168.18955999999983</v>
      </c>
      <c r="M29" s="282">
        <f t="shared" si="3"/>
        <v>643.27045999999939</v>
      </c>
      <c r="N29" s="282">
        <f t="shared" si="3"/>
        <v>648.73115999999936</v>
      </c>
      <c r="O29" s="284">
        <f t="shared" si="3"/>
        <v>654.19185999999945</v>
      </c>
      <c r="P29" s="281">
        <f t="shared" si="3"/>
        <v>652.00757999999928</v>
      </c>
      <c r="Q29" s="282">
        <f t="shared" si="3"/>
        <v>659.65255999999931</v>
      </c>
      <c r="R29" s="282">
        <f t="shared" si="3"/>
        <v>649.82329999999934</v>
      </c>
      <c r="S29" s="282">
        <f t="shared" si="3"/>
        <v>141.97819999999987</v>
      </c>
      <c r="T29" s="282">
        <f t="shared" si="3"/>
        <v>657.46827999999937</v>
      </c>
      <c r="U29" s="282">
        <f t="shared" si="3"/>
        <v>648.73115999999936</v>
      </c>
      <c r="V29" s="284">
        <f t="shared" si="3"/>
        <v>650.91543999999931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156.02440264361974</v>
      </c>
      <c r="C30" s="38">
        <f t="shared" ref="C30:V30" si="4">+(C25/C27)/7*1000</f>
        <v>156.02836879432624</v>
      </c>
      <c r="D30" s="38">
        <f t="shared" si="4"/>
        <v>156.01638504864309</v>
      </c>
      <c r="E30" s="38">
        <f t="shared" si="4"/>
        <v>155.99078341013825</v>
      </c>
      <c r="F30" s="38">
        <f t="shared" si="4"/>
        <v>156.03230691569911</v>
      </c>
      <c r="G30" s="38">
        <f t="shared" si="4"/>
        <v>156.010296010296</v>
      </c>
      <c r="H30" s="39">
        <f t="shared" si="4"/>
        <v>156.01503759398491</v>
      </c>
      <c r="I30" s="37">
        <f t="shared" si="4"/>
        <v>156.01250601250601</v>
      </c>
      <c r="J30" s="38">
        <f t="shared" si="4"/>
        <v>156.02526724975706</v>
      </c>
      <c r="K30" s="38">
        <f t="shared" si="4"/>
        <v>156.02567149988116</v>
      </c>
      <c r="L30" s="38">
        <f t="shared" si="4"/>
        <v>156.02968460111316</v>
      </c>
      <c r="M30" s="38">
        <f t="shared" si="4"/>
        <v>156.02716468590833</v>
      </c>
      <c r="N30" s="38">
        <f t="shared" si="4"/>
        <v>156.01250601250601</v>
      </c>
      <c r="O30" s="39">
        <f t="shared" si="4"/>
        <v>156.02194133078942</v>
      </c>
      <c r="P30" s="37">
        <f t="shared" si="4"/>
        <v>156.01818616893996</v>
      </c>
      <c r="Q30" s="38">
        <f t="shared" si="4"/>
        <v>156.03122043519397</v>
      </c>
      <c r="R30" s="38">
        <f t="shared" si="4"/>
        <v>156.0144057623049</v>
      </c>
      <c r="S30" s="38">
        <f t="shared" si="4"/>
        <v>156.04395604395603</v>
      </c>
      <c r="T30" s="38">
        <f t="shared" si="4"/>
        <v>156.02752728998576</v>
      </c>
      <c r="U30" s="38">
        <f t="shared" si="4"/>
        <v>156.01250601250601</v>
      </c>
      <c r="V30" s="39">
        <f t="shared" si="4"/>
        <v>156.01629913710451</v>
      </c>
      <c r="W30" s="40"/>
    </row>
    <row r="31" spans="1:25" ht="33.75" customHeight="1" x14ac:dyDescent="0.25">
      <c r="A31" s="41"/>
      <c r="B31" s="42">
        <f>B29-B25</f>
        <v>-1.7320000000722757E-2</v>
      </c>
      <c r="C31" s="42">
        <f t="shared" ref="C31:V32" si="5">C29-C25</f>
        <v>-3.3040000000596592E-2</v>
      </c>
      <c r="D31" s="42">
        <f t="shared" si="5"/>
        <v>1.411999999947966E-2</v>
      </c>
      <c r="E31" s="42">
        <f t="shared" si="5"/>
        <v>2.5359999999864158E-2</v>
      </c>
      <c r="F31" s="42">
        <f t="shared" si="5"/>
        <v>-4.8760000000584114E-2</v>
      </c>
      <c r="G31" s="42">
        <f t="shared" si="5"/>
        <v>3.7699999999404099E-2</v>
      </c>
      <c r="H31" s="42">
        <f t="shared" si="5"/>
        <v>1.979999999946358E-2</v>
      </c>
      <c r="I31" s="42">
        <f t="shared" si="5"/>
        <v>3.1159999999317733E-2</v>
      </c>
      <c r="J31" s="42">
        <f t="shared" si="5"/>
        <v>-2.1680000000628752E-2</v>
      </c>
      <c r="K31" s="42">
        <f t="shared" si="5"/>
        <v>-2.3860000000809123E-2</v>
      </c>
      <c r="L31" s="42">
        <f t="shared" si="5"/>
        <v>-1.0440000000158989E-2</v>
      </c>
      <c r="M31" s="42">
        <f t="shared" si="5"/>
        <v>-2.9540000000565669E-2</v>
      </c>
      <c r="N31" s="42">
        <f t="shared" si="5"/>
        <v>3.1159999999317733E-2</v>
      </c>
      <c r="O31" s="42">
        <f t="shared" si="5"/>
        <v>-8.1400000004805406E-3</v>
      </c>
      <c r="P31" s="42">
        <f t="shared" si="5"/>
        <v>7.5799999991659206E-3</v>
      </c>
      <c r="Q31" s="42">
        <f t="shared" si="5"/>
        <v>-4.7440000000733562E-2</v>
      </c>
      <c r="R31" s="42">
        <f t="shared" si="5"/>
        <v>2.3299999999380816E-2</v>
      </c>
      <c r="S31" s="42">
        <f t="shared" si="5"/>
        <v>-2.1800000000126829E-2</v>
      </c>
      <c r="T31" s="42">
        <f t="shared" si="5"/>
        <v>-3.1720000000518667E-2</v>
      </c>
      <c r="U31" s="42">
        <f t="shared" si="5"/>
        <v>3.1159999999317733E-2</v>
      </c>
      <c r="V31" s="42">
        <f t="shared" si="5"/>
        <v>1.5439999999330212E-2</v>
      </c>
      <c r="W31" s="42"/>
      <c r="X31" s="42"/>
    </row>
    <row r="32" spans="1:25" ht="33.75" customHeight="1" x14ac:dyDescent="0.25">
      <c r="A32" s="41"/>
      <c r="B32" s="42">
        <f>B30-B26</f>
        <v>4.4026436198976171E-3</v>
      </c>
      <c r="C32" s="42">
        <f t="shared" si="5"/>
        <v>8.36879432640103E-3</v>
      </c>
      <c r="D32" s="42">
        <f t="shared" si="5"/>
        <v>-3.6149513567522717E-3</v>
      </c>
      <c r="E32" s="42">
        <f t="shared" si="5"/>
        <v>-2.9216589861590592E-2</v>
      </c>
      <c r="F32" s="42">
        <f t="shared" si="5"/>
        <v>1.2306915699269894E-2</v>
      </c>
      <c r="G32" s="42">
        <f t="shared" si="5"/>
        <v>-9.7039897038371237E-3</v>
      </c>
      <c r="H32" s="42">
        <f t="shared" si="5"/>
        <v>-4.9624060149255911E-3</v>
      </c>
      <c r="I32" s="42">
        <f t="shared" si="5"/>
        <v>-7.4939874938309003E-3</v>
      </c>
      <c r="J32" s="42">
        <f t="shared" si="5"/>
        <v>5.2672497572245902E-3</v>
      </c>
      <c r="K32" s="42">
        <f t="shared" si="5"/>
        <v>5.671499881316322E-3</v>
      </c>
      <c r="L32" s="42">
        <f t="shared" si="5"/>
        <v>9.6846011133209231E-3</v>
      </c>
      <c r="M32" s="42">
        <f t="shared" si="5"/>
        <v>7.1646859084921743E-3</v>
      </c>
      <c r="N32" s="42">
        <f t="shared" si="5"/>
        <v>-7.4939874938309003E-3</v>
      </c>
      <c r="O32" s="42">
        <f t="shared" si="5"/>
        <v>1.9413307895774778E-3</v>
      </c>
      <c r="P32" s="42">
        <f t="shared" si="5"/>
        <v>-1.8138310598772023E-3</v>
      </c>
      <c r="Q32" s="42">
        <f>Q30-Q26</f>
        <v>1.1220435194132961E-2</v>
      </c>
      <c r="R32" s="42">
        <f t="shared" si="5"/>
        <v>-5.594237694936055E-3</v>
      </c>
      <c r="S32" s="42">
        <f t="shared" si="5"/>
        <v>2.3956043956189887E-2</v>
      </c>
      <c r="T32" s="42">
        <f t="shared" si="5"/>
        <v>7.527289985915786E-3</v>
      </c>
      <c r="U32" s="42">
        <f t="shared" si="5"/>
        <v>-7.4939874938309003E-3</v>
      </c>
      <c r="V32" s="42">
        <f t="shared" si="5"/>
        <v>-3.7008628953287825E-3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83.5</v>
      </c>
      <c r="C39" s="282">
        <v>84.2</v>
      </c>
      <c r="D39" s="282">
        <v>8.5</v>
      </c>
      <c r="E39" s="282">
        <v>87.2</v>
      </c>
      <c r="F39" s="282">
        <v>87.1</v>
      </c>
      <c r="G39" s="284">
        <v>88.6</v>
      </c>
      <c r="H39" s="326">
        <f t="shared" ref="H39:H46" si="6">SUM(B39:G39)</f>
        <v>439.1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83.4</v>
      </c>
      <c r="C40" s="282">
        <v>84.1</v>
      </c>
      <c r="D40" s="282">
        <v>8.4</v>
      </c>
      <c r="E40" s="282">
        <v>87.2</v>
      </c>
      <c r="F40" s="282">
        <v>87.1</v>
      </c>
      <c r="G40" s="284">
        <v>88.5</v>
      </c>
      <c r="H40" s="264">
        <f t="shared" si="6"/>
        <v>438.70000000000005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83.3</v>
      </c>
      <c r="C41" s="282">
        <v>84.1</v>
      </c>
      <c r="D41" s="282">
        <v>8.3000000000000007</v>
      </c>
      <c r="E41" s="282">
        <v>87.2</v>
      </c>
      <c r="F41" s="282">
        <v>87.1</v>
      </c>
      <c r="G41" s="284">
        <v>88.4</v>
      </c>
      <c r="H41" s="264">
        <f t="shared" si="6"/>
        <v>438.4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6.6</v>
      </c>
      <c r="S41" s="282">
        <v>6.4</v>
      </c>
      <c r="T41" s="282">
        <v>6.6</v>
      </c>
      <c r="U41" s="264">
        <f t="shared" si="7"/>
        <v>33.700000000000003</v>
      </c>
      <c r="V41" s="49"/>
      <c r="W41" s="48"/>
    </row>
    <row r="42" spans="1:25" ht="33.75" customHeight="1" x14ac:dyDescent="0.25">
      <c r="A42" s="146" t="s">
        <v>28</v>
      </c>
      <c r="B42" s="281">
        <v>83.3</v>
      </c>
      <c r="C42" s="282">
        <v>84.1</v>
      </c>
      <c r="D42" s="282">
        <v>8.3000000000000007</v>
      </c>
      <c r="E42" s="282">
        <v>87.2</v>
      </c>
      <c r="F42" s="282">
        <v>87.1</v>
      </c>
      <c r="G42" s="284">
        <v>88.4</v>
      </c>
      <c r="H42" s="264">
        <f t="shared" si="6"/>
        <v>438.4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6.6</v>
      </c>
      <c r="U42" s="264">
        <f t="shared" si="7"/>
        <v>33.799999999999997</v>
      </c>
      <c r="V42" s="49"/>
      <c r="W42" s="48"/>
    </row>
    <row r="43" spans="1:25" ht="33.75" customHeight="1" x14ac:dyDescent="0.25">
      <c r="A43" s="146" t="s">
        <v>21</v>
      </c>
      <c r="B43" s="281">
        <v>83.3</v>
      </c>
      <c r="C43" s="282">
        <v>84.1</v>
      </c>
      <c r="D43" s="282">
        <v>8.3000000000000007</v>
      </c>
      <c r="E43" s="282">
        <v>87.2</v>
      </c>
      <c r="F43" s="282">
        <v>87</v>
      </c>
      <c r="G43" s="284">
        <v>88.4</v>
      </c>
      <c r="H43" s="264">
        <f t="shared" si="6"/>
        <v>438.29999999999995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6.6</v>
      </c>
      <c r="U43" s="264">
        <f t="shared" si="7"/>
        <v>33.799999999999997</v>
      </c>
      <c r="V43" s="49"/>
      <c r="W43" s="48"/>
    </row>
    <row r="44" spans="1:25" ht="33.75" customHeight="1" x14ac:dyDescent="0.25">
      <c r="A44" s="146" t="s">
        <v>22</v>
      </c>
      <c r="B44" s="281">
        <v>83.3</v>
      </c>
      <c r="C44" s="282">
        <v>84.1</v>
      </c>
      <c r="D44" s="282">
        <v>8.3000000000000007</v>
      </c>
      <c r="E44" s="282">
        <v>87.2</v>
      </c>
      <c r="F44" s="282">
        <v>87</v>
      </c>
      <c r="G44" s="284">
        <v>88.4</v>
      </c>
      <c r="H44" s="264">
        <f t="shared" si="6"/>
        <v>438.29999999999995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6.6</v>
      </c>
      <c r="U44" s="264">
        <f t="shared" si="7"/>
        <v>33.700000000000003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83.3</v>
      </c>
      <c r="C45" s="282">
        <v>84.1</v>
      </c>
      <c r="D45" s="282">
        <v>8.3000000000000007</v>
      </c>
      <c r="E45" s="282">
        <v>87.2</v>
      </c>
      <c r="F45" s="282">
        <v>87</v>
      </c>
      <c r="G45" s="284">
        <v>88.4</v>
      </c>
      <c r="H45" s="265">
        <f t="shared" si="6"/>
        <v>438.29999999999995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6.6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583.4</v>
      </c>
      <c r="C46" s="120">
        <f t="shared" si="8"/>
        <v>588.80000000000007</v>
      </c>
      <c r="D46" s="120">
        <f>SUM(D39:D45)</f>
        <v>58.399999999999991</v>
      </c>
      <c r="E46" s="120">
        <f t="shared" si="8"/>
        <v>610.40000000000009</v>
      </c>
      <c r="F46" s="120">
        <f t="shared" si="8"/>
        <v>609.4</v>
      </c>
      <c r="G46" s="121">
        <f t="shared" si="8"/>
        <v>619.09999999999991</v>
      </c>
      <c r="H46" s="560">
        <f t="shared" si="6"/>
        <v>3069.5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46.7</v>
      </c>
      <c r="U46" s="326">
        <f>SUM(O46:T46)</f>
        <v>239.5</v>
      </c>
      <c r="V46" s="49"/>
      <c r="W46" s="2"/>
    </row>
    <row r="47" spans="1:25" ht="33.75" customHeight="1" x14ac:dyDescent="0.25">
      <c r="A47" s="148" t="s">
        <v>11</v>
      </c>
      <c r="B47" s="555">
        <v>154.61999999999995</v>
      </c>
      <c r="C47" s="555">
        <v>154.61999999999995</v>
      </c>
      <c r="D47" s="555">
        <v>154.61999999999995</v>
      </c>
      <c r="E47" s="555">
        <v>154.61999999999995</v>
      </c>
      <c r="F47" s="555">
        <v>154.61999999999995</v>
      </c>
      <c r="G47" s="555">
        <v>154.61999999999995</v>
      </c>
      <c r="H47" s="234">
        <f>+((H46/H48)/7)*1000</f>
        <v>154.61918194640336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152.74234693877551</v>
      </c>
      <c r="V47" s="50"/>
    </row>
    <row r="48" spans="1:25" ht="33.75" customHeight="1" x14ac:dyDescent="0.25">
      <c r="A48" s="149" t="s">
        <v>12</v>
      </c>
      <c r="B48" s="26">
        <v>539</v>
      </c>
      <c r="C48" s="27">
        <v>544</v>
      </c>
      <c r="D48" s="27">
        <v>54</v>
      </c>
      <c r="E48" s="27">
        <v>564</v>
      </c>
      <c r="F48" s="27">
        <v>563</v>
      </c>
      <c r="G48" s="28">
        <v>572</v>
      </c>
      <c r="H48" s="256">
        <f>SUM(B48:G48)</f>
        <v>2836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43</v>
      </c>
      <c r="U48" s="235">
        <f>SUM(O48:T48)</f>
        <v>224</v>
      </c>
      <c r="V48" s="52"/>
    </row>
    <row r="49" spans="1:23" ht="33.75" customHeight="1" x14ac:dyDescent="0.25">
      <c r="A49" s="150" t="s">
        <v>13</v>
      </c>
      <c r="B49" s="30">
        <f>(((((B47*7)*B48)/1000)/7))</f>
        <v>83.340179999999961</v>
      </c>
      <c r="C49" s="30">
        <f t="shared" ref="C49:G49" si="10">(((((C47*7)*C48)/1000)/7))</f>
        <v>84.113279999999989</v>
      </c>
      <c r="D49" s="30">
        <f t="shared" si="10"/>
        <v>8.349479999999998</v>
      </c>
      <c r="E49" s="30">
        <f t="shared" si="10"/>
        <v>87.205679999999958</v>
      </c>
      <c r="F49" s="30">
        <f t="shared" si="10"/>
        <v>87.051059999999978</v>
      </c>
      <c r="G49" s="30">
        <f t="shared" si="10"/>
        <v>88.442639999999983</v>
      </c>
      <c r="H49" s="257">
        <f>((H46*1000)/H48)/7</f>
        <v>154.61918194640339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6.665</v>
      </c>
      <c r="U49" s="253">
        <f>((U46*1000)/U48)/7</f>
        <v>152.74234693877551</v>
      </c>
      <c r="V49" s="192"/>
    </row>
    <row r="50" spans="1:23" ht="33.75" customHeight="1" x14ac:dyDescent="0.25">
      <c r="A50" s="151" t="s">
        <v>14</v>
      </c>
      <c r="B50" s="281">
        <f>((B48*B47)*7)/1000</f>
        <v>583.38125999999988</v>
      </c>
      <c r="C50" s="282">
        <f t="shared" ref="C50:G50" si="12">((C48*C47)*7)/1000</f>
        <v>588.79295999999977</v>
      </c>
      <c r="D50" s="282">
        <f t="shared" si="12"/>
        <v>58.446359999999984</v>
      </c>
      <c r="E50" s="282">
        <f t="shared" si="12"/>
        <v>610.43975999999975</v>
      </c>
      <c r="F50" s="282">
        <f t="shared" si="12"/>
        <v>609.35741999999982</v>
      </c>
      <c r="G50" s="284">
        <f t="shared" si="12"/>
        <v>619.09847999999977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46.655000000000001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154.62496686986486</v>
      </c>
      <c r="C51" s="38">
        <f t="shared" si="14"/>
        <v>154.62184873949585</v>
      </c>
      <c r="D51" s="38">
        <f t="shared" si="14"/>
        <v>154.49735449735448</v>
      </c>
      <c r="E51" s="38">
        <f t="shared" si="14"/>
        <v>154.6099290780142</v>
      </c>
      <c r="F51" s="38">
        <f t="shared" si="14"/>
        <v>154.63080436437451</v>
      </c>
      <c r="G51" s="39">
        <f t="shared" si="14"/>
        <v>154.62037962037959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155.14950166112956</v>
      </c>
      <c r="U51" s="255"/>
      <c r="V51" s="42"/>
    </row>
    <row r="52" spans="1:23" ht="33.75" customHeight="1" x14ac:dyDescent="0.25">
      <c r="A52" s="41"/>
      <c r="B52" s="42">
        <f>B50-B46</f>
        <v>-1.874000000009346E-2</v>
      </c>
      <c r="C52" s="42">
        <f t="shared" ref="C52:G53" si="16">C50-C46</f>
        <v>-7.0400000003019159E-3</v>
      </c>
      <c r="D52" s="42">
        <f t="shared" si="16"/>
        <v>4.6359999999992851E-2</v>
      </c>
      <c r="E52" s="42">
        <f t="shared" si="16"/>
        <v>3.9759999999660067E-2</v>
      </c>
      <c r="F52" s="42">
        <f t="shared" si="16"/>
        <v>-4.258000000015727E-2</v>
      </c>
      <c r="G52" s="42">
        <f t="shared" si="16"/>
        <v>-1.5200000001414082E-3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-4.5000000000001705E-2</v>
      </c>
    </row>
    <row r="53" spans="1:23" ht="33.75" customHeight="1" x14ac:dyDescent="0.25">
      <c r="A53" s="41"/>
      <c r="B53" s="42">
        <f>B51-B47</f>
        <v>4.9668698649156795E-3</v>
      </c>
      <c r="C53" s="42">
        <f t="shared" si="16"/>
        <v>1.848739495898144E-3</v>
      </c>
      <c r="D53" s="42">
        <f t="shared" si="16"/>
        <v>-0.1226455026454687</v>
      </c>
      <c r="E53" s="42">
        <f t="shared" si="16"/>
        <v>-1.0070921985743553E-2</v>
      </c>
      <c r="F53" s="42">
        <f t="shared" si="16"/>
        <v>1.0804364374564557E-2</v>
      </c>
      <c r="G53" s="42">
        <f t="shared" si="16"/>
        <v>3.7962037964689443E-4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0.14950166112956254</v>
      </c>
      <c r="W53" s="2"/>
    </row>
    <row r="54" spans="1:23" ht="33.75" customHeight="1" x14ac:dyDescent="0.25">
      <c r="A54" s="41"/>
      <c r="B54" s="1061"/>
      <c r="C54" s="1061"/>
      <c r="D54" s="106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</v>
      </c>
      <c r="T62" s="561">
        <v>7.7</v>
      </c>
      <c r="U62" s="561">
        <v>7.6</v>
      </c>
      <c r="V62" s="474">
        <v>7.5</v>
      </c>
      <c r="W62" s="264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264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264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65"/>
  <dimension ref="A1:Y237"/>
  <sheetViews>
    <sheetView topLeftCell="A28" zoomScale="29" zoomScaleNormal="25" workbookViewId="0">
      <selection activeCell="D77" sqref="D7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48</v>
      </c>
      <c r="Q11" s="1022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5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9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9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9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9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155.49908970647945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555</v>
      </c>
      <c r="D27" s="27">
        <v>556</v>
      </c>
      <c r="E27" s="27">
        <v>141</v>
      </c>
      <c r="F27" s="27">
        <v>557</v>
      </c>
      <c r="G27" s="27">
        <v>551</v>
      </c>
      <c r="H27" s="28">
        <v>568</v>
      </c>
      <c r="I27" s="26">
        <v>593</v>
      </c>
      <c r="J27" s="27">
        <v>586</v>
      </c>
      <c r="K27" s="27">
        <v>601</v>
      </c>
      <c r="L27" s="27">
        <v>146</v>
      </c>
      <c r="M27" s="27">
        <v>589</v>
      </c>
      <c r="N27" s="27">
        <v>593</v>
      </c>
      <c r="O27" s="28">
        <v>599</v>
      </c>
      <c r="P27" s="26">
        <v>593</v>
      </c>
      <c r="Q27" s="27">
        <v>600</v>
      </c>
      <c r="R27" s="27">
        <v>588</v>
      </c>
      <c r="S27" s="27">
        <v>155</v>
      </c>
      <c r="T27" s="27">
        <v>591</v>
      </c>
      <c r="U27" s="27">
        <v>589</v>
      </c>
      <c r="V27" s="28">
        <v>594</v>
      </c>
      <c r="W27" s="29">
        <f>SUM(B27:V27)</f>
        <v>10907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86.30249999999991</v>
      </c>
      <c r="D28" s="30">
        <f t="shared" si="2"/>
        <v>86.457999999999927</v>
      </c>
      <c r="E28" s="30">
        <f t="shared" si="2"/>
        <v>21.925499999999975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92.211499999999901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22.702999999999975</v>
      </c>
      <c r="M28" s="30">
        <f t="shared" si="2"/>
        <v>91.589499999999902</v>
      </c>
      <c r="N28" s="30">
        <f t="shared" si="2"/>
        <v>92.211499999999901</v>
      </c>
      <c r="O28" s="30">
        <f t="shared" si="2"/>
        <v>93.144499999999894</v>
      </c>
      <c r="P28" s="30">
        <f t="shared" si="2"/>
        <v>92.211499999999901</v>
      </c>
      <c r="Q28" s="30">
        <f t="shared" si="2"/>
        <v>93.299999999999912</v>
      </c>
      <c r="R28" s="30">
        <f t="shared" si="2"/>
        <v>91.433999999999898</v>
      </c>
      <c r="S28" s="30">
        <f t="shared" si="2"/>
        <v>24.102499999999974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155.49908970647945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604.11749999999927</v>
      </c>
      <c r="D29" s="282">
        <f t="shared" ref="D29:V29" si="3">((D27*D26)*7)/1000</f>
        <v>605.20599999999934</v>
      </c>
      <c r="E29" s="282">
        <f t="shared" si="3"/>
        <v>153.47849999999983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645.48049999999932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158.92099999999982</v>
      </c>
      <c r="M29" s="282">
        <f t="shared" si="3"/>
        <v>641.12649999999928</v>
      </c>
      <c r="N29" s="282">
        <f t="shared" si="3"/>
        <v>645.48049999999932</v>
      </c>
      <c r="O29" s="284">
        <f t="shared" si="3"/>
        <v>652.01149999999927</v>
      </c>
      <c r="P29" s="281">
        <f t="shared" si="3"/>
        <v>645.48049999999932</v>
      </c>
      <c r="Q29" s="282">
        <f t="shared" si="3"/>
        <v>653.09999999999934</v>
      </c>
      <c r="R29" s="282">
        <f t="shared" si="3"/>
        <v>640.03799999999933</v>
      </c>
      <c r="S29" s="282">
        <f t="shared" si="3"/>
        <v>168.71749999999983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155.49549549549548</v>
      </c>
      <c r="D30" s="38">
        <f t="shared" si="4"/>
        <v>155.49845837615624</v>
      </c>
      <c r="E30" s="38">
        <f t="shared" si="4"/>
        <v>155.52178318135765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155.5046976632137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155.47945205479456</v>
      </c>
      <c r="M30" s="38">
        <f t="shared" si="4"/>
        <v>155.49357264128065</v>
      </c>
      <c r="N30" s="38">
        <f t="shared" si="4"/>
        <v>155.48060708263071</v>
      </c>
      <c r="O30" s="39">
        <f t="shared" si="4"/>
        <v>155.49725733365133</v>
      </c>
      <c r="P30" s="37">
        <f t="shared" si="4"/>
        <v>155.50469766321368</v>
      </c>
      <c r="Q30" s="38">
        <f t="shared" si="4"/>
        <v>155.49999999999997</v>
      </c>
      <c r="R30" s="38">
        <f t="shared" si="4"/>
        <v>155.49076773566568</v>
      </c>
      <c r="S30" s="38">
        <f t="shared" si="4"/>
        <v>155.48387096774195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1.7499999999245119E-2</v>
      </c>
      <c r="D31" s="42">
        <f t="shared" si="5"/>
        <v>5.9999999994033715E-3</v>
      </c>
      <c r="E31" s="42">
        <f t="shared" si="5"/>
        <v>-2.1500000000173713E-2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-1.9500000000789441E-2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2.0999999999787633E-2</v>
      </c>
      <c r="M31" s="42">
        <f t="shared" si="5"/>
        <v>2.6499999999259671E-2</v>
      </c>
      <c r="N31" s="42">
        <f t="shared" si="5"/>
        <v>8.0499999999233296E-2</v>
      </c>
      <c r="O31" s="42">
        <f t="shared" si="5"/>
        <v>1.1499999999159627E-2</v>
      </c>
      <c r="P31" s="42">
        <f t="shared" si="5"/>
        <v>-1.9500000000675755E-2</v>
      </c>
      <c r="Q31" s="42">
        <f t="shared" si="5"/>
        <v>0</v>
      </c>
      <c r="R31" s="42">
        <f t="shared" si="5"/>
        <v>3.7999999999328793E-2</v>
      </c>
      <c r="S31" s="42">
        <f t="shared" si="5"/>
        <v>1.7499999999841975E-2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-4.5045045043536902E-3</v>
      </c>
      <c r="D32" s="42">
        <f t="shared" si="5"/>
        <v>-1.5416238435932428E-3</v>
      </c>
      <c r="E32" s="42">
        <f t="shared" si="5"/>
        <v>2.1783181357818648E-2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4.6976632138751029E-3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-2.0547945205265705E-2</v>
      </c>
      <c r="M32" s="42">
        <f t="shared" si="5"/>
        <v>-6.4273587191792103E-3</v>
      </c>
      <c r="N32" s="42">
        <f t="shared" si="5"/>
        <v>-1.9392917369117413E-2</v>
      </c>
      <c r="O32" s="42">
        <f t="shared" si="5"/>
        <v>-2.742666348495959E-3</v>
      </c>
      <c r="P32" s="42">
        <f t="shared" si="5"/>
        <v>4.6976632138466812E-3</v>
      </c>
      <c r="Q32" s="42">
        <f>Q30-Q26</f>
        <v>0</v>
      </c>
      <c r="R32" s="42">
        <f t="shared" si="5"/>
        <v>-9.2322643341447019E-3</v>
      </c>
      <c r="S32" s="42">
        <f t="shared" si="5"/>
        <v>-1.6129032257879317E-2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326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264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264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264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264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264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485">
        <v>82.3</v>
      </c>
      <c r="C43" s="486">
        <v>74.7</v>
      </c>
      <c r="D43" s="486">
        <v>18.8</v>
      </c>
      <c r="E43" s="486">
        <v>86.8</v>
      </c>
      <c r="F43" s="486">
        <v>85.8</v>
      </c>
      <c r="G43" s="499">
        <v>86.7</v>
      </c>
      <c r="H43" s="264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264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485">
        <v>82.3</v>
      </c>
      <c r="C44" s="486">
        <v>74.7</v>
      </c>
      <c r="D44" s="486">
        <v>18.8</v>
      </c>
      <c r="E44" s="486">
        <v>86.8</v>
      </c>
      <c r="F44" s="486">
        <v>85.8</v>
      </c>
      <c r="G44" s="499">
        <v>86.7</v>
      </c>
      <c r="H44" s="264">
        <f t="shared" si="6"/>
        <v>435.1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485">
        <v>82.3</v>
      </c>
      <c r="C45" s="486">
        <v>74.7</v>
      </c>
      <c r="D45" s="486">
        <v>18.8</v>
      </c>
      <c r="E45" s="486">
        <v>86.8</v>
      </c>
      <c r="F45" s="486">
        <v>85.8</v>
      </c>
      <c r="G45" s="499">
        <v>86.8</v>
      </c>
      <c r="H45" s="265">
        <f t="shared" si="6"/>
        <v>435.20000000000005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577.80000000000007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610.19999999999993</v>
      </c>
      <c r="H46" s="560">
        <f t="shared" si="6"/>
        <v>3050.8999999999996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154.28065739570164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153.23510570147343</v>
      </c>
      <c r="V47" s="50"/>
    </row>
    <row r="48" spans="1:25" ht="33.75" customHeight="1" x14ac:dyDescent="0.25">
      <c r="A48" s="149" t="s">
        <v>12</v>
      </c>
      <c r="B48" s="26">
        <v>535</v>
      </c>
      <c r="C48" s="27">
        <v>518</v>
      </c>
      <c r="D48" s="27">
        <v>86</v>
      </c>
      <c r="E48" s="27">
        <v>563</v>
      </c>
      <c r="F48" s="27">
        <v>558</v>
      </c>
      <c r="G48" s="28">
        <v>565</v>
      </c>
      <c r="H48" s="256">
        <f>SUM(B48:G48)</f>
        <v>2825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223</v>
      </c>
      <c r="V48" s="52"/>
    </row>
    <row r="49" spans="1:23" ht="33.75" customHeight="1" x14ac:dyDescent="0.25">
      <c r="A49" s="150" t="s">
        <v>13</v>
      </c>
      <c r="B49" s="30">
        <f>(((((B47*7)*B48)/1000)/7))</f>
        <v>82.539799999999971</v>
      </c>
      <c r="C49" s="30">
        <f t="shared" ref="C49:G49" si="10">(((((C47*7)*C48)/1000)/7))</f>
        <v>79.917039999999972</v>
      </c>
      <c r="D49" s="30">
        <f t="shared" si="10"/>
        <v>13.268079999999996</v>
      </c>
      <c r="E49" s="30">
        <f t="shared" si="10"/>
        <v>86.85963999999997</v>
      </c>
      <c r="F49" s="30">
        <f t="shared" si="10"/>
        <v>86.088239999999971</v>
      </c>
      <c r="G49" s="30">
        <f t="shared" si="10"/>
        <v>87.16819999999997</v>
      </c>
      <c r="H49" s="257">
        <f>((H46*1000)/H48)/7</f>
        <v>154.28065739570161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6.3419999999999996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153.23510570147343</v>
      </c>
      <c r="V49" s="192"/>
    </row>
    <row r="50" spans="1:23" ht="33.75" customHeight="1" x14ac:dyDescent="0.25">
      <c r="A50" s="151" t="s">
        <v>14</v>
      </c>
      <c r="B50" s="281">
        <f>((B48*B47)*7)/1000</f>
        <v>577.77859999999987</v>
      </c>
      <c r="C50" s="282">
        <f t="shared" ref="C50:G50" si="12">((C48*C47)*7)/1000</f>
        <v>559.41927999999984</v>
      </c>
      <c r="D50" s="282">
        <f t="shared" si="12"/>
        <v>92.876559999999969</v>
      </c>
      <c r="E50" s="282">
        <f t="shared" si="12"/>
        <v>608.01747999999975</v>
      </c>
      <c r="F50" s="282">
        <f t="shared" si="12"/>
        <v>602.61767999999984</v>
      </c>
      <c r="G50" s="284">
        <f t="shared" si="12"/>
        <v>610.17739999999981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44.393999999999998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154.28571428571431</v>
      </c>
      <c r="C51" s="38">
        <f t="shared" si="14"/>
        <v>154.27468284611143</v>
      </c>
      <c r="D51" s="38">
        <f t="shared" si="14"/>
        <v>154.3189368770764</v>
      </c>
      <c r="E51" s="38">
        <f t="shared" si="14"/>
        <v>154.2755645775184</v>
      </c>
      <c r="F51" s="38">
        <f t="shared" si="14"/>
        <v>154.27547363031229</v>
      </c>
      <c r="G51" s="39">
        <f t="shared" si="14"/>
        <v>154.28571428571428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151.0204081632653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-2.1400000000198816E-2</v>
      </c>
      <c r="C52" s="42">
        <f t="shared" ref="C52:G53" si="16">C50-C46</f>
        <v>1.9279999999866959E-2</v>
      </c>
      <c r="D52" s="42">
        <f t="shared" si="16"/>
        <v>-2.344000000002211E-2</v>
      </c>
      <c r="E52" s="42">
        <f t="shared" si="16"/>
        <v>1.7479999999750362E-2</v>
      </c>
      <c r="F52" s="42">
        <f t="shared" si="16"/>
        <v>1.7679999999927531E-2</v>
      </c>
      <c r="G52" s="42">
        <f t="shared" si="16"/>
        <v>-2.2600000000124965E-2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-6.0000000000002274E-3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5.7142857143617221E-3</v>
      </c>
      <c r="C53" s="42">
        <f t="shared" si="16"/>
        <v>-5.3171538885123937E-3</v>
      </c>
      <c r="D53" s="42">
        <f t="shared" si="16"/>
        <v>3.8936877076451992E-2</v>
      </c>
      <c r="E53" s="42">
        <f t="shared" si="16"/>
        <v>-4.4354224815492671E-3</v>
      </c>
      <c r="F53" s="42">
        <f t="shared" si="16"/>
        <v>-4.5263696876531867E-3</v>
      </c>
      <c r="G53" s="42">
        <f t="shared" si="16"/>
        <v>5.7142857143333003E-3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2.0408163265301482E-2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61"/>
      <c r="C54" s="1061"/>
      <c r="D54" s="106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264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264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264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157.64356125801908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913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7.8</v>
      </c>
      <c r="V70" s="32">
        <f t="shared" si="20"/>
        <v>7.6440000000000001</v>
      </c>
      <c r="W70" s="362">
        <f>((W67*1000)/7)/W69</f>
        <v>157.64356125801905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54.6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156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0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0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66"/>
  <dimension ref="A1:Y237"/>
  <sheetViews>
    <sheetView topLeftCell="A12" zoomScale="29" zoomScaleNormal="25" workbookViewId="0">
      <selection activeCell="B26" sqref="B2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48</v>
      </c>
      <c r="Q11" s="1022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6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53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53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53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53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155.7132364513929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556</v>
      </c>
      <c r="E27" s="27">
        <v>138</v>
      </c>
      <c r="F27" s="27">
        <v>557</v>
      </c>
      <c r="G27" s="27">
        <v>551</v>
      </c>
      <c r="H27" s="28">
        <v>568</v>
      </c>
      <c r="I27" s="26">
        <v>591</v>
      </c>
      <c r="J27" s="27">
        <v>586</v>
      </c>
      <c r="K27" s="27">
        <v>601</v>
      </c>
      <c r="L27" s="27">
        <v>143</v>
      </c>
      <c r="M27" s="27">
        <v>589</v>
      </c>
      <c r="N27" s="27">
        <v>592</v>
      </c>
      <c r="O27" s="28">
        <v>598</v>
      </c>
      <c r="P27" s="26">
        <v>593</v>
      </c>
      <c r="Q27" s="27">
        <v>597</v>
      </c>
      <c r="R27" s="27">
        <v>588</v>
      </c>
      <c r="S27" s="27">
        <v>154</v>
      </c>
      <c r="T27" s="27">
        <v>591</v>
      </c>
      <c r="U27" s="27">
        <v>589</v>
      </c>
      <c r="V27" s="28">
        <v>594</v>
      </c>
      <c r="W27" s="29">
        <f>SUM(B27:V27)</f>
        <v>10892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86.14699999999992</v>
      </c>
      <c r="D28" s="30">
        <f t="shared" si="2"/>
        <v>86.457999999999927</v>
      </c>
      <c r="E28" s="30">
        <f t="shared" si="2"/>
        <v>21.458999999999978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91.900499999999894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22.236499999999975</v>
      </c>
      <c r="M28" s="30">
        <f t="shared" si="2"/>
        <v>91.589499999999902</v>
      </c>
      <c r="N28" s="30">
        <f t="shared" si="2"/>
        <v>92.055999999999898</v>
      </c>
      <c r="O28" s="30">
        <f t="shared" si="2"/>
        <v>92.988999999999905</v>
      </c>
      <c r="P28" s="30">
        <f t="shared" si="2"/>
        <v>92.211499999999901</v>
      </c>
      <c r="Q28" s="30">
        <f t="shared" si="2"/>
        <v>92.833499999999887</v>
      </c>
      <c r="R28" s="30">
        <f t="shared" si="2"/>
        <v>91.433999999999898</v>
      </c>
      <c r="S28" s="30">
        <f t="shared" si="2"/>
        <v>23.946999999999974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155.7132364513929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605.20599999999934</v>
      </c>
      <c r="E29" s="282">
        <f t="shared" si="3"/>
        <v>150.21299999999985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155.65549999999982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650.92299999999932</v>
      </c>
      <c r="P29" s="281">
        <f t="shared" si="3"/>
        <v>645.48049999999932</v>
      </c>
      <c r="Q29" s="282">
        <f t="shared" si="3"/>
        <v>649.83449999999925</v>
      </c>
      <c r="R29" s="282">
        <f t="shared" si="3"/>
        <v>640.03799999999933</v>
      </c>
      <c r="S29" s="282">
        <f t="shared" si="3"/>
        <v>167.62899999999982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155.77617328519855</v>
      </c>
      <c r="D30" s="38">
        <f t="shared" si="4"/>
        <v>155.49845837615624</v>
      </c>
      <c r="E30" s="38">
        <f t="shared" si="4"/>
        <v>158.90269151138716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156.03094029489969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158.7412587412588</v>
      </c>
      <c r="M30" s="38">
        <f t="shared" si="4"/>
        <v>155.49357264128065</v>
      </c>
      <c r="N30" s="38">
        <f t="shared" si="4"/>
        <v>155.74324324324326</v>
      </c>
      <c r="O30" s="39">
        <f t="shared" si="4"/>
        <v>155.75728619206882</v>
      </c>
      <c r="P30" s="37">
        <f t="shared" si="4"/>
        <v>155.50469766321368</v>
      </c>
      <c r="Q30" s="38">
        <f t="shared" si="4"/>
        <v>156.28140703517587</v>
      </c>
      <c r="R30" s="38">
        <f t="shared" si="4"/>
        <v>155.49076773566568</v>
      </c>
      <c r="S30" s="38">
        <f t="shared" si="4"/>
        <v>156.49350649350649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-1.0710000000005948</v>
      </c>
      <c r="D31" s="42">
        <f t="shared" si="5"/>
        <v>5.9999999994033715E-3</v>
      </c>
      <c r="E31" s="42">
        <f t="shared" si="5"/>
        <v>-3.2870000000001482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-2.1965000000008104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-3.2445000000002153</v>
      </c>
      <c r="M31" s="42">
        <f t="shared" si="5"/>
        <v>2.6499999999259671E-2</v>
      </c>
      <c r="N31" s="42">
        <f t="shared" si="5"/>
        <v>-1.008000000000834</v>
      </c>
      <c r="O31" s="42">
        <f t="shared" si="5"/>
        <v>-1.077000000000794</v>
      </c>
      <c r="P31" s="42">
        <f t="shared" si="5"/>
        <v>-1.9500000000675755E-2</v>
      </c>
      <c r="Q31" s="42">
        <f t="shared" si="5"/>
        <v>-3.2655000000006567</v>
      </c>
      <c r="R31" s="42">
        <f t="shared" si="5"/>
        <v>3.7999999999328793E-2</v>
      </c>
      <c r="S31" s="42">
        <f t="shared" si="5"/>
        <v>-1.0710000000001685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0.27617328519872331</v>
      </c>
      <c r="D32" s="42">
        <f t="shared" si="5"/>
        <v>-1.5416238435932428E-3</v>
      </c>
      <c r="E32" s="42">
        <f t="shared" si="5"/>
        <v>3.4026915113873315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0.53094029489986383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3.2412587412589744</v>
      </c>
      <c r="M32" s="42">
        <f t="shared" si="5"/>
        <v>-6.4273587191792103E-3</v>
      </c>
      <c r="N32" s="42">
        <f t="shared" si="5"/>
        <v>0.24324324324342683</v>
      </c>
      <c r="O32" s="42">
        <f t="shared" si="5"/>
        <v>0.25728619206898884</v>
      </c>
      <c r="P32" s="42">
        <f t="shared" si="5"/>
        <v>4.6976632138466812E-3</v>
      </c>
      <c r="Q32" s="42">
        <f>Q30-Q26</f>
        <v>0.78140703517604493</v>
      </c>
      <c r="R32" s="42">
        <f t="shared" si="5"/>
        <v>-9.2322643341447019E-3</v>
      </c>
      <c r="S32" s="42">
        <f t="shared" si="5"/>
        <v>0.99350649350665776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540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539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539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539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539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539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539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281">
        <v>82.3</v>
      </c>
      <c r="C43" s="282">
        <v>83.7</v>
      </c>
      <c r="D43" s="282">
        <v>9.8000000000000007</v>
      </c>
      <c r="E43" s="282">
        <v>86.8</v>
      </c>
      <c r="F43" s="282">
        <v>85.8</v>
      </c>
      <c r="G43" s="284">
        <v>86.7</v>
      </c>
      <c r="H43" s="539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539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281">
        <v>81.8</v>
      </c>
      <c r="C44" s="282">
        <v>70.2</v>
      </c>
      <c r="D44" s="282">
        <v>23.3</v>
      </c>
      <c r="E44" s="282">
        <v>86.8</v>
      </c>
      <c r="F44" s="282">
        <v>85.8</v>
      </c>
      <c r="G44" s="284">
        <v>86.2</v>
      </c>
      <c r="H44" s="264">
        <f t="shared" si="6"/>
        <v>434.1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281">
        <v>81.7</v>
      </c>
      <c r="C45" s="282">
        <v>70.2</v>
      </c>
      <c r="D45" s="282">
        <v>23.3</v>
      </c>
      <c r="E45" s="282">
        <v>86.8</v>
      </c>
      <c r="F45" s="282">
        <v>85.8</v>
      </c>
      <c r="G45" s="284">
        <v>86.2</v>
      </c>
      <c r="H45" s="265">
        <f t="shared" si="6"/>
        <v>434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576.70000000000005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609.1</v>
      </c>
      <c r="H46" s="560">
        <f t="shared" si="6"/>
        <v>3048.7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154.60723160403671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153.92535392535396</v>
      </c>
      <c r="V47" s="50"/>
    </row>
    <row r="48" spans="1:25" ht="33.75" customHeight="1" x14ac:dyDescent="0.25">
      <c r="A48" s="149" t="s">
        <v>12</v>
      </c>
      <c r="B48" s="26">
        <v>534</v>
      </c>
      <c r="C48" s="27">
        <v>517</v>
      </c>
      <c r="D48" s="27">
        <v>83</v>
      </c>
      <c r="E48" s="27">
        <v>561</v>
      </c>
      <c r="F48" s="27">
        <v>558</v>
      </c>
      <c r="G48" s="28">
        <v>564</v>
      </c>
      <c r="H48" s="256">
        <f>SUM(B48:G48)</f>
        <v>2817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82.385519999999957</v>
      </c>
      <c r="C49" s="30">
        <f t="shared" ref="C49:G49" si="10">(((((C47*7)*C48)/1000)/7))</f>
        <v>79.762759999999972</v>
      </c>
      <c r="D49" s="30">
        <f t="shared" si="10"/>
        <v>12.805239999999996</v>
      </c>
      <c r="E49" s="30">
        <f t="shared" si="10"/>
        <v>86.55107999999997</v>
      </c>
      <c r="F49" s="30">
        <f t="shared" si="10"/>
        <v>86.088239999999971</v>
      </c>
      <c r="G49" s="30">
        <f t="shared" si="10"/>
        <v>87.013919999999956</v>
      </c>
      <c r="H49" s="257">
        <f>((H46*1000)/H48)/7</f>
        <v>154.60723160403671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153.92535392535393</v>
      </c>
      <c r="V49" s="192"/>
    </row>
    <row r="50" spans="1:23" ht="33.75" customHeight="1" x14ac:dyDescent="0.25">
      <c r="A50" s="151" t="s">
        <v>14</v>
      </c>
      <c r="B50" s="281">
        <f>((B48*B47)*7)/1000</f>
        <v>576.69863999999973</v>
      </c>
      <c r="C50" s="282">
        <f t="shared" ref="C50:G50" si="12">((C48*C47)*7)/1000</f>
        <v>558.3393199999997</v>
      </c>
      <c r="D50" s="282">
        <f t="shared" si="12"/>
        <v>89.636679999999984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609.09743999999978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154.28036383092564</v>
      </c>
      <c r="C51" s="38">
        <f t="shared" si="14"/>
        <v>154.57308648798011</v>
      </c>
      <c r="D51" s="38">
        <f t="shared" si="14"/>
        <v>159.89672977624784</v>
      </c>
      <c r="E51" s="38">
        <f t="shared" si="14"/>
        <v>154.82556659027247</v>
      </c>
      <c r="F51" s="38">
        <f t="shared" si="14"/>
        <v>154.27547363031229</v>
      </c>
      <c r="G51" s="39">
        <f t="shared" si="14"/>
        <v>154.2806484295846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154.70383275261327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-1.3600000003179957E-3</v>
      </c>
      <c r="C52" s="42">
        <f t="shared" ref="C52:G53" si="16">C50-C46</f>
        <v>-1.060680000000275</v>
      </c>
      <c r="D52" s="42">
        <f t="shared" si="16"/>
        <v>-3.2633200000000073</v>
      </c>
      <c r="E52" s="42">
        <f t="shared" si="16"/>
        <v>-2.1424400000001924</v>
      </c>
      <c r="F52" s="42">
        <f t="shared" si="16"/>
        <v>1.7679999999927531E-2</v>
      </c>
      <c r="G52" s="42">
        <f t="shared" si="16"/>
        <v>-2.5600000002441448E-3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-1.0629999999999953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3.6383092569280961E-4</v>
      </c>
      <c r="C53" s="42">
        <f t="shared" si="16"/>
        <v>0.29308648798016179</v>
      </c>
      <c r="D53" s="42">
        <f t="shared" si="16"/>
        <v>5.6167297762478938</v>
      </c>
      <c r="E53" s="42">
        <f t="shared" si="16"/>
        <v>0.54556659027252863</v>
      </c>
      <c r="F53" s="42">
        <f t="shared" si="16"/>
        <v>-4.5263696876531867E-3</v>
      </c>
      <c r="G53" s="42">
        <f t="shared" si="16"/>
        <v>6.4842958465760603E-4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3.7038327526132662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61"/>
      <c r="C54" s="1061"/>
      <c r="D54" s="106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539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539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539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157.81641604010019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49</v>
      </c>
      <c r="V69" s="28">
        <v>49</v>
      </c>
      <c r="W69" s="29">
        <f>SUM(B69:V69)</f>
        <v>912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7.6440000000000001</v>
      </c>
      <c r="V70" s="32">
        <f t="shared" si="20"/>
        <v>7.6440000000000001</v>
      </c>
      <c r="W70" s="362">
        <f>((W67*1000)/7)/W69</f>
        <v>157.81641604010022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53.508000000000003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159.18367346938774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-1.0919999999999987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3.1836734693877418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67"/>
  <dimension ref="A1:Y237"/>
  <sheetViews>
    <sheetView topLeftCell="A13" zoomScale="29" zoomScaleNormal="25" workbookViewId="0">
      <selection activeCell="W60" sqref="W60:W6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50</v>
      </c>
      <c r="Q11" s="1022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3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61"/>
      <c r="C54" s="1061"/>
      <c r="D54" s="106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7</v>
      </c>
      <c r="C60" s="600">
        <v>7.1</v>
      </c>
      <c r="D60" s="600">
        <v>7.2</v>
      </c>
      <c r="E60" s="600">
        <v>1.7</v>
      </c>
      <c r="F60" s="600">
        <v>7.4</v>
      </c>
      <c r="G60" s="600">
        <v>7.3</v>
      </c>
      <c r="H60" s="603">
        <v>7.3</v>
      </c>
      <c r="I60" s="599">
        <v>7.9</v>
      </c>
      <c r="J60" s="604">
        <v>7.7</v>
      </c>
      <c r="K60" s="600">
        <v>8.1999999999999993</v>
      </c>
      <c r="L60" s="604">
        <v>1.3</v>
      </c>
      <c r="M60" s="604">
        <v>8.1</v>
      </c>
      <c r="N60" s="600">
        <v>7.7</v>
      </c>
      <c r="O60" s="605">
        <v>7.5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313">
        <f t="shared" ref="W60:W66" si="18">SUM(B60:V60)</f>
        <v>143.29999999999998</v>
      </c>
    </row>
    <row r="61" spans="1:23" ht="33.75" customHeight="1" x14ac:dyDescent="0.25">
      <c r="A61" s="146" t="s">
        <v>24</v>
      </c>
      <c r="B61" s="599">
        <v>7</v>
      </c>
      <c r="C61" s="600">
        <v>7.1</v>
      </c>
      <c r="D61" s="600">
        <v>7.2</v>
      </c>
      <c r="E61" s="600">
        <v>1.7</v>
      </c>
      <c r="F61" s="600">
        <v>7.4</v>
      </c>
      <c r="G61" s="600">
        <v>7.3</v>
      </c>
      <c r="H61" s="603">
        <v>7.3</v>
      </c>
      <c r="I61" s="599">
        <v>7.9</v>
      </c>
      <c r="J61" s="604">
        <v>7.7</v>
      </c>
      <c r="K61" s="600">
        <v>8.1999999999999993</v>
      </c>
      <c r="L61" s="604">
        <v>1.3</v>
      </c>
      <c r="M61" s="604">
        <v>8.1</v>
      </c>
      <c r="N61" s="600">
        <v>7.7</v>
      </c>
      <c r="O61" s="605">
        <v>7.5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264">
        <f t="shared" si="18"/>
        <v>143.29999999999998</v>
      </c>
    </row>
    <row r="62" spans="1:23" ht="33.75" customHeight="1" x14ac:dyDescent="0.25">
      <c r="A62" s="146" t="s">
        <v>20</v>
      </c>
      <c r="B62" s="599">
        <v>7.3</v>
      </c>
      <c r="C62" s="600">
        <v>7.3</v>
      </c>
      <c r="D62" s="600">
        <v>7.4</v>
      </c>
      <c r="E62" s="600">
        <v>1.7</v>
      </c>
      <c r="F62" s="600">
        <v>7.6</v>
      </c>
      <c r="G62" s="600">
        <v>7.3</v>
      </c>
      <c r="H62" s="603">
        <v>7.3</v>
      </c>
      <c r="I62" s="599">
        <v>7.9</v>
      </c>
      <c r="J62" s="604">
        <v>7.5</v>
      </c>
      <c r="K62" s="600">
        <v>8.1999999999999993</v>
      </c>
      <c r="L62" s="604">
        <v>1.2</v>
      </c>
      <c r="M62" s="604">
        <v>8</v>
      </c>
      <c r="N62" s="600">
        <v>7.6</v>
      </c>
      <c r="O62" s="605">
        <v>7.7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264">
        <f t="shared" si="18"/>
        <v>142.79999999999998</v>
      </c>
    </row>
    <row r="63" spans="1:23" ht="33.75" customHeight="1" x14ac:dyDescent="0.25">
      <c r="A63" s="146" t="s">
        <v>28</v>
      </c>
      <c r="B63" s="281">
        <v>7.4</v>
      </c>
      <c r="C63" s="282">
        <v>7.3</v>
      </c>
      <c r="D63" s="282">
        <v>7.5</v>
      </c>
      <c r="E63" s="282">
        <v>1.7</v>
      </c>
      <c r="F63" s="282">
        <v>7.6</v>
      </c>
      <c r="G63" s="282">
        <v>7.4</v>
      </c>
      <c r="H63" s="283">
        <v>7.4</v>
      </c>
      <c r="I63" s="281">
        <v>7.9</v>
      </c>
      <c r="J63" s="561">
        <v>7.6</v>
      </c>
      <c r="K63" s="282">
        <v>8.1999999999999993</v>
      </c>
      <c r="L63" s="561">
        <v>1.2</v>
      </c>
      <c r="M63" s="561">
        <v>8</v>
      </c>
      <c r="N63" s="282">
        <v>7.6</v>
      </c>
      <c r="O63" s="474">
        <v>7.7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264">
        <f t="shared" si="18"/>
        <v>143.29999999999998</v>
      </c>
    </row>
    <row r="64" spans="1:23" ht="33.75" customHeight="1" x14ac:dyDescent="0.25">
      <c r="A64" s="146" t="s">
        <v>21</v>
      </c>
      <c r="B64" s="281">
        <v>7.4</v>
      </c>
      <c r="C64" s="282">
        <v>7.3</v>
      </c>
      <c r="D64" s="282">
        <v>7.5</v>
      </c>
      <c r="E64" s="282">
        <v>1.7</v>
      </c>
      <c r="F64" s="282">
        <v>7.6</v>
      </c>
      <c r="G64" s="282">
        <v>7.4</v>
      </c>
      <c r="H64" s="283">
        <v>7.4</v>
      </c>
      <c r="I64" s="281">
        <v>7.9</v>
      </c>
      <c r="J64" s="561">
        <v>7.6</v>
      </c>
      <c r="K64" s="282">
        <v>8.1999999999999993</v>
      </c>
      <c r="L64" s="561">
        <v>1.2</v>
      </c>
      <c r="M64" s="561">
        <v>8</v>
      </c>
      <c r="N64" s="282">
        <v>7.7</v>
      </c>
      <c r="O64" s="474">
        <v>7.7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264">
        <f t="shared" si="18"/>
        <v>143.59999999999997</v>
      </c>
    </row>
    <row r="65" spans="1:23" ht="33.75" customHeight="1" x14ac:dyDescent="0.25">
      <c r="A65" s="146" t="s">
        <v>22</v>
      </c>
      <c r="B65" s="281">
        <v>7.4</v>
      </c>
      <c r="C65" s="282">
        <v>7.4</v>
      </c>
      <c r="D65" s="282">
        <v>7.5</v>
      </c>
      <c r="E65" s="282">
        <v>1.8</v>
      </c>
      <c r="F65" s="282">
        <v>7.6</v>
      </c>
      <c r="G65" s="282">
        <v>7.4</v>
      </c>
      <c r="H65" s="283">
        <v>7.4</v>
      </c>
      <c r="I65" s="281">
        <v>8</v>
      </c>
      <c r="J65" s="561">
        <v>7.6</v>
      </c>
      <c r="K65" s="282">
        <v>8.1999999999999993</v>
      </c>
      <c r="L65" s="561">
        <v>1.3</v>
      </c>
      <c r="M65" s="561">
        <v>8</v>
      </c>
      <c r="N65" s="282">
        <v>7.7</v>
      </c>
      <c r="O65" s="474">
        <v>7.8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264">
        <f t="shared" si="18"/>
        <v>144.29999999999998</v>
      </c>
    </row>
    <row r="66" spans="1:23" ht="33.75" customHeight="1" thickBot="1" x14ac:dyDescent="0.3">
      <c r="A66" s="146" t="s">
        <v>23</v>
      </c>
      <c r="B66" s="281">
        <v>7.4</v>
      </c>
      <c r="C66" s="282">
        <v>7.4</v>
      </c>
      <c r="D66" s="282">
        <v>7.5</v>
      </c>
      <c r="E66" s="282">
        <v>1.8</v>
      </c>
      <c r="F66" s="282">
        <v>7.7</v>
      </c>
      <c r="G66" s="282">
        <v>7.4</v>
      </c>
      <c r="H66" s="283">
        <v>7.4</v>
      </c>
      <c r="I66" s="281">
        <v>8</v>
      </c>
      <c r="J66" s="561">
        <v>7.6</v>
      </c>
      <c r="K66" s="282">
        <v>8.3000000000000007</v>
      </c>
      <c r="L66" s="561">
        <v>1.3</v>
      </c>
      <c r="M66" s="561">
        <v>8</v>
      </c>
      <c r="N66" s="282">
        <v>7.7</v>
      </c>
      <c r="O66" s="474">
        <v>7.8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265">
        <f t="shared" si="18"/>
        <v>144.69999999999999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</v>
      </c>
      <c r="E67" s="120">
        <f t="shared" si="19"/>
        <v>12.100000000000001</v>
      </c>
      <c r="F67" s="120">
        <f t="shared" si="19"/>
        <v>52.900000000000006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55.5</v>
      </c>
      <c r="J67" s="120">
        <f t="shared" si="19"/>
        <v>53.300000000000004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56.2</v>
      </c>
      <c r="N67" s="120">
        <f t="shared" si="19"/>
        <v>53.70000000000001</v>
      </c>
      <c r="O67" s="121">
        <f t="shared" si="19"/>
        <v>53.699999999999996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326">
        <f>SUM(W60:W66)</f>
        <v>1005.3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327">
        <f>((W67/W69)/7)*1000</f>
        <v>166.41284555537163</v>
      </c>
    </row>
    <row r="69" spans="1:23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328">
        <f>SUM(B69:V69)</f>
        <v>863</v>
      </c>
    </row>
    <row r="70" spans="1:23" ht="33.75" customHeight="1" x14ac:dyDescent="0.25">
      <c r="A70" s="150" t="s">
        <v>13</v>
      </c>
      <c r="B70" s="30">
        <f>((((B68*7)*B69)/1000)/7)</f>
        <v>6.952</v>
      </c>
      <c r="C70" s="31">
        <f t="shared" ref="C70:V70" si="20">((((C68*7)*C69)/1000)/7)</f>
        <v>6.952</v>
      </c>
      <c r="D70" s="31">
        <f t="shared" si="20"/>
        <v>6.7725</v>
      </c>
      <c r="E70" s="31">
        <f t="shared" si="20"/>
        <v>1.7324999999999999</v>
      </c>
      <c r="F70" s="31">
        <f t="shared" si="20"/>
        <v>6.93</v>
      </c>
      <c r="G70" s="31">
        <f t="shared" si="20"/>
        <v>6.8860000000000001</v>
      </c>
      <c r="H70" s="32">
        <f t="shared" si="20"/>
        <v>6.8860000000000001</v>
      </c>
      <c r="I70" s="65">
        <f t="shared" si="20"/>
        <v>6.9739999999999993</v>
      </c>
      <c r="J70" s="31">
        <f t="shared" si="20"/>
        <v>6.9739999999999993</v>
      </c>
      <c r="K70" s="31">
        <f t="shared" si="20"/>
        <v>7.11</v>
      </c>
      <c r="L70" s="31">
        <f t="shared" si="20"/>
        <v>1.738</v>
      </c>
      <c r="M70" s="31">
        <f t="shared" si="20"/>
        <v>6.93</v>
      </c>
      <c r="N70" s="31">
        <f t="shared" si="20"/>
        <v>7.0424999999999995</v>
      </c>
      <c r="O70" s="32">
        <f t="shared" si="20"/>
        <v>6.8860000000000001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1.8900000000000001</v>
      </c>
      <c r="T70" s="31">
        <f t="shared" si="20"/>
        <v>7.7175000000000002</v>
      </c>
      <c r="U70" s="31">
        <f t="shared" si="20"/>
        <v>7.6440000000000001</v>
      </c>
      <c r="V70" s="142">
        <f t="shared" si="20"/>
        <v>7.6440000000000001</v>
      </c>
      <c r="W70" s="329">
        <f>((W67*1000)/7)/W69</f>
        <v>166.41284555537163</v>
      </c>
    </row>
    <row r="71" spans="1:23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1">((D69*D68)*7)/1000</f>
        <v>47.407499999999999</v>
      </c>
      <c r="E71" s="282">
        <f t="shared" si="21"/>
        <v>12.1275</v>
      </c>
      <c r="F71" s="282">
        <f t="shared" si="21"/>
        <v>48.51</v>
      </c>
      <c r="G71" s="282">
        <f t="shared" si="21"/>
        <v>48.201999999999998</v>
      </c>
      <c r="H71" s="284">
        <f t="shared" si="21"/>
        <v>48.201999999999998</v>
      </c>
      <c r="I71" s="285">
        <f t="shared" si="21"/>
        <v>48.817999999999998</v>
      </c>
      <c r="J71" s="282">
        <f t="shared" si="21"/>
        <v>48.817999999999998</v>
      </c>
      <c r="K71" s="282">
        <f t="shared" si="21"/>
        <v>49.77</v>
      </c>
      <c r="L71" s="282">
        <f t="shared" si="21"/>
        <v>12.166</v>
      </c>
      <c r="M71" s="282">
        <f t="shared" si="21"/>
        <v>48.51</v>
      </c>
      <c r="N71" s="282">
        <f t="shared" si="21"/>
        <v>49.297499999999999</v>
      </c>
      <c r="O71" s="284">
        <f t="shared" si="21"/>
        <v>48.201999999999998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13.23</v>
      </c>
      <c r="T71" s="282">
        <f t="shared" si="21"/>
        <v>54.022500000000001</v>
      </c>
      <c r="U71" s="282">
        <f t="shared" si="21"/>
        <v>53.508000000000003</v>
      </c>
      <c r="V71" s="283">
        <f t="shared" si="21"/>
        <v>53.508000000000003</v>
      </c>
      <c r="W71" s="254"/>
    </row>
    <row r="72" spans="1:23" ht="33.75" customHeight="1" thickBot="1" x14ac:dyDescent="0.3">
      <c r="A72" s="152" t="s">
        <v>15</v>
      </c>
      <c r="B72" s="37">
        <f>+(B67/B69)/7*1000</f>
        <v>165.25974025974025</v>
      </c>
      <c r="C72" s="38">
        <f t="shared" ref="C72:V72" si="22">+(C67/C69)/7*1000</f>
        <v>165.25974025974025</v>
      </c>
      <c r="D72" s="38">
        <f t="shared" si="22"/>
        <v>172.09302325581393</v>
      </c>
      <c r="E72" s="38">
        <f>+(E67/E69)/7*1000</f>
        <v>157.14285714285717</v>
      </c>
      <c r="F72" s="38">
        <f t="shared" si="22"/>
        <v>171.75324675324677</v>
      </c>
      <c r="G72" s="38">
        <f t="shared" si="22"/>
        <v>167.20779220779215</v>
      </c>
      <c r="H72" s="39">
        <f t="shared" si="22"/>
        <v>167.20779220779215</v>
      </c>
      <c r="I72" s="67">
        <f t="shared" si="22"/>
        <v>180.19480519480521</v>
      </c>
      <c r="J72" s="38">
        <f t="shared" si="22"/>
        <v>173.05194805194807</v>
      </c>
      <c r="K72" s="38">
        <f t="shared" si="22"/>
        <v>182.53968253968253</v>
      </c>
      <c r="L72" s="38">
        <f t="shared" si="22"/>
        <v>114.28571428571429</v>
      </c>
      <c r="M72" s="38">
        <f t="shared" si="22"/>
        <v>182.46753246753246</v>
      </c>
      <c r="N72" s="38">
        <f t="shared" si="22"/>
        <v>170.47619047619051</v>
      </c>
      <c r="O72" s="39">
        <f t="shared" si="22"/>
        <v>174.35064935064935</v>
      </c>
      <c r="P72" s="67">
        <f t="shared" si="22"/>
        <v>160.50420168067231</v>
      </c>
      <c r="Q72" s="38">
        <f t="shared" si="22"/>
        <v>160.50420168067228</v>
      </c>
      <c r="R72" s="38">
        <f t="shared" si="22"/>
        <v>157.42296918767505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155.97667638483966</v>
      </c>
      <c r="V72" s="158">
        <f t="shared" si="22"/>
        <v>155.97667638483966</v>
      </c>
      <c r="W72" s="237"/>
    </row>
    <row r="73" spans="1:23" ht="33.75" customHeight="1" x14ac:dyDescent="0.25">
      <c r="A73" s="41"/>
      <c r="B73" s="42">
        <f>B71-B67</f>
        <v>-2.2359999999999971</v>
      </c>
      <c r="C73" s="42">
        <f t="shared" ref="C73:V74" si="23">C71-C67</f>
        <v>-2.2359999999999971</v>
      </c>
      <c r="D73" s="42">
        <f t="shared" si="23"/>
        <v>-4.3924999999999983</v>
      </c>
      <c r="E73" s="42">
        <f t="shared" si="23"/>
        <v>2.7499999999998082E-2</v>
      </c>
      <c r="F73" s="42">
        <f t="shared" si="23"/>
        <v>-4.3900000000000077</v>
      </c>
      <c r="G73" s="42">
        <f t="shared" si="23"/>
        <v>-3.2979999999999947</v>
      </c>
      <c r="H73" s="42">
        <f t="shared" si="23"/>
        <v>-3.2979999999999947</v>
      </c>
      <c r="I73" s="42">
        <f t="shared" si="23"/>
        <v>-6.6820000000000022</v>
      </c>
      <c r="J73" s="42">
        <f t="shared" si="23"/>
        <v>-4.4820000000000064</v>
      </c>
      <c r="K73" s="42">
        <f t="shared" si="23"/>
        <v>-7.7299999999999969</v>
      </c>
      <c r="L73" s="42">
        <f>L71-L67</f>
        <v>3.3659999999999997</v>
      </c>
      <c r="M73" s="42">
        <f t="shared" si="23"/>
        <v>-7.6900000000000048</v>
      </c>
      <c r="N73" s="42">
        <f t="shared" si="23"/>
        <v>-4.4025000000000105</v>
      </c>
      <c r="O73" s="42">
        <f t="shared" si="23"/>
        <v>-5.4979999999999976</v>
      </c>
      <c r="P73" s="42">
        <f t="shared" si="23"/>
        <v>-1.5000000000142677E-3</v>
      </c>
      <c r="Q73" s="42">
        <f t="shared" si="23"/>
        <v>-1.5000000000071623E-3</v>
      </c>
      <c r="R73" s="42">
        <f t="shared" si="23"/>
        <v>2.7500000000003411E-2</v>
      </c>
      <c r="S73" s="42">
        <f t="shared" si="23"/>
        <v>2.9999999999999361E-2</v>
      </c>
      <c r="T73" s="42">
        <f t="shared" si="23"/>
        <v>2.2500000000000853E-2</v>
      </c>
      <c r="U73" s="42">
        <f t="shared" si="23"/>
        <v>7.9999999999955662E-3</v>
      </c>
      <c r="V73" s="42">
        <f t="shared" si="23"/>
        <v>7.9999999999955662E-3</v>
      </c>
      <c r="W73" s="42"/>
    </row>
    <row r="74" spans="1:23" ht="33.75" customHeight="1" x14ac:dyDescent="0.25">
      <c r="A74" s="41"/>
      <c r="B74" s="42">
        <f>B72-B68</f>
        <v>7.2597402597402549</v>
      </c>
      <c r="C74" s="42">
        <f t="shared" si="23"/>
        <v>7.2597402597402549</v>
      </c>
      <c r="D74" s="42">
        <f t="shared" si="23"/>
        <v>14.593023255813932</v>
      </c>
      <c r="E74" s="42">
        <f t="shared" si="23"/>
        <v>-0.35714285714283278</v>
      </c>
      <c r="F74" s="42">
        <f t="shared" si="23"/>
        <v>14.253246753246771</v>
      </c>
      <c r="G74" s="42">
        <f t="shared" si="23"/>
        <v>10.707792207792153</v>
      </c>
      <c r="H74" s="42">
        <f t="shared" si="23"/>
        <v>10.707792207792153</v>
      </c>
      <c r="I74" s="42">
        <f t="shared" si="23"/>
        <v>21.694805194805213</v>
      </c>
      <c r="J74" s="42">
        <f t="shared" si="23"/>
        <v>14.551948051948074</v>
      </c>
      <c r="K74" s="42">
        <f t="shared" si="23"/>
        <v>24.539682539682531</v>
      </c>
      <c r="L74" s="42">
        <f t="shared" si="23"/>
        <v>-43.714285714285708</v>
      </c>
      <c r="M74" s="42">
        <f t="shared" si="23"/>
        <v>24.967532467532465</v>
      </c>
      <c r="N74" s="42">
        <f t="shared" si="23"/>
        <v>13.97619047619051</v>
      </c>
      <c r="O74" s="42">
        <f t="shared" si="23"/>
        <v>17.850649350649348</v>
      </c>
      <c r="P74" s="42">
        <f t="shared" si="23"/>
        <v>4.2016806723097488E-3</v>
      </c>
      <c r="Q74" s="42">
        <f>Q72-Q68</f>
        <v>4.2016806722813271E-3</v>
      </c>
      <c r="R74" s="42">
        <f t="shared" si="23"/>
        <v>-7.7030812324949238E-2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-2.3323615160336431E-2</v>
      </c>
      <c r="V74" s="42">
        <f t="shared" si="23"/>
        <v>-2.3323615160336431E-2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68"/>
  <dimension ref="A1:Z237"/>
  <sheetViews>
    <sheetView zoomScale="29" zoomScaleNormal="25" workbookViewId="0">
      <selection activeCell="N12" sqref="N1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50</v>
      </c>
      <c r="Q11" s="1022"/>
      <c r="R11" s="6"/>
      <c r="S11" s="1" t="s">
        <v>6</v>
      </c>
      <c r="T11" s="95" t="s">
        <v>125</v>
      </c>
      <c r="U11" s="6"/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  <c r="Y28" s="41"/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6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6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6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6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6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6" ht="33.75" customHeight="1" x14ac:dyDescent="0.25">
      <c r="A54" s="41"/>
      <c r="B54" s="1061"/>
      <c r="C54" s="1061"/>
      <c r="D54" s="106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2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18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18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18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18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18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18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V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121">
        <f t="shared" si="19"/>
        <v>48.2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268">
        <f t="shared" ref="W67" si="20">SUM(W60:W66)</f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V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32">
        <f t="shared" si="21"/>
        <v>6.8860000000000001</v>
      </c>
      <c r="P70" s="65">
        <f t="shared" si="21"/>
        <v>8.1854999999999993</v>
      </c>
      <c r="Q70" s="31">
        <f t="shared" si="21"/>
        <v>8.1854999999999993</v>
      </c>
      <c r="R70" s="31">
        <f t="shared" si="21"/>
        <v>8.0325000000000006</v>
      </c>
      <c r="S70" s="31">
        <f t="shared" si="21"/>
        <v>1.8900000000000001</v>
      </c>
      <c r="T70" s="31">
        <f t="shared" si="21"/>
        <v>7.7175000000000002</v>
      </c>
      <c r="U70" s="31">
        <f t="shared" si="21"/>
        <v>7.6440000000000001</v>
      </c>
      <c r="V70" s="142">
        <f t="shared" si="21"/>
        <v>7.6440000000000001</v>
      </c>
      <c r="W70" s="142">
        <f t="shared" ref="W70" si="22">((((W68*7)*W69)/1000)/7)</f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4">
        <f t="shared" si="23"/>
        <v>48.201999999999998</v>
      </c>
      <c r="P71" s="285">
        <f t="shared" si="23"/>
        <v>57.298499999999997</v>
      </c>
      <c r="Q71" s="282">
        <f t="shared" si="23"/>
        <v>57.298499999999997</v>
      </c>
      <c r="R71" s="282">
        <f t="shared" si="23"/>
        <v>56.227499999999999</v>
      </c>
      <c r="S71" s="282">
        <f t="shared" si="23"/>
        <v>13.23</v>
      </c>
      <c r="T71" s="282">
        <f t="shared" si="23"/>
        <v>54.022500000000001</v>
      </c>
      <c r="U71" s="282">
        <f t="shared" si="23"/>
        <v>53.508000000000003</v>
      </c>
      <c r="V71" s="283">
        <f t="shared" si="23"/>
        <v>53.508000000000003</v>
      </c>
      <c r="W71" s="283">
        <f t="shared" ref="W71" si="24">((W69*W68)*7)/1000</f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V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39">
        <f t="shared" si="25"/>
        <v>156.49350649350649</v>
      </c>
      <c r="P72" s="67">
        <f t="shared" si="25"/>
        <v>160.50420168067231</v>
      </c>
      <c r="Q72" s="38">
        <f t="shared" si="25"/>
        <v>160.50420168067228</v>
      </c>
      <c r="R72" s="38">
        <f t="shared" si="25"/>
        <v>157.42296918767505</v>
      </c>
      <c r="S72" s="38">
        <f t="shared" si="25"/>
        <v>157.14285714285717</v>
      </c>
      <c r="T72" s="38">
        <f t="shared" si="25"/>
        <v>157.43440233236151</v>
      </c>
      <c r="U72" s="38">
        <f t="shared" si="25"/>
        <v>155.97667638483966</v>
      </c>
      <c r="V72" s="158">
        <f t="shared" si="25"/>
        <v>155.97667638483966</v>
      </c>
      <c r="W72" s="158">
        <f t="shared" ref="W72" si="26">+(W67/W69)/7*1000</f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V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si="27"/>
        <v>-1.5000000000142677E-3</v>
      </c>
      <c r="Q73" s="42">
        <f t="shared" si="27"/>
        <v>-1.5000000000071623E-3</v>
      </c>
      <c r="R73" s="42">
        <f t="shared" si="27"/>
        <v>2.7500000000003411E-2</v>
      </c>
      <c r="S73" s="42">
        <f t="shared" si="27"/>
        <v>2.9999999999999361E-2</v>
      </c>
      <c r="T73" s="42">
        <f t="shared" si="27"/>
        <v>2.2500000000000853E-2</v>
      </c>
      <c r="U73" s="42">
        <f t="shared" si="27"/>
        <v>7.9999999999955662E-3</v>
      </c>
      <c r="V73" s="42">
        <f t="shared" si="27"/>
        <v>7.9999999999955662E-3</v>
      </c>
      <c r="W73" s="42">
        <f t="shared" ref="W73" si="28">W71-W67</f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si="27"/>
        <v>4.2016806723097488E-3</v>
      </c>
      <c r="Q74" s="42">
        <f>Q72-Q68</f>
        <v>4.2016806722813271E-3</v>
      </c>
      <c r="R74" s="42">
        <f t="shared" si="27"/>
        <v>-7.7030812324949238E-2</v>
      </c>
      <c r="S74" s="42">
        <f t="shared" si="27"/>
        <v>-0.35714285714283278</v>
      </c>
      <c r="T74" s="42">
        <f t="shared" si="27"/>
        <v>-6.5597667638485291E-2</v>
      </c>
      <c r="U74" s="42">
        <f t="shared" si="27"/>
        <v>-2.3323615160336431E-2</v>
      </c>
      <c r="V74" s="42">
        <f t="shared" si="27"/>
        <v>-2.3323615160336431E-2</v>
      </c>
      <c r="W74" s="42">
        <f t="shared" ref="W74" si="29">W72-W68</f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69"/>
  <dimension ref="A1:Z237"/>
  <sheetViews>
    <sheetView topLeftCell="A13" zoomScale="29" zoomScaleNormal="25" workbookViewId="0">
      <selection activeCell="B21" sqref="B21:B2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50</v>
      </c>
      <c r="Q11" s="1022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86.9</v>
      </c>
      <c r="C21" s="282">
        <v>85.8</v>
      </c>
      <c r="D21" s="282">
        <v>85.8</v>
      </c>
      <c r="E21" s="282">
        <v>20.52</v>
      </c>
      <c r="F21" s="282">
        <v>86.3</v>
      </c>
      <c r="G21" s="282">
        <v>85.3</v>
      </c>
      <c r="H21" s="284">
        <v>87.3</v>
      </c>
      <c r="I21" s="285">
        <v>91.3</v>
      </c>
      <c r="J21" s="282">
        <v>90.7</v>
      </c>
      <c r="K21" s="282">
        <v>92.9</v>
      </c>
      <c r="L21" s="282">
        <v>22.1</v>
      </c>
      <c r="M21" s="282">
        <v>91.1</v>
      </c>
      <c r="N21" s="282">
        <v>91.6</v>
      </c>
      <c r="O21" s="282">
        <v>92.2</v>
      </c>
      <c r="P21" s="281">
        <v>91.5</v>
      </c>
      <c r="Q21" s="282">
        <v>91.8</v>
      </c>
      <c r="R21" s="282">
        <v>91.1</v>
      </c>
      <c r="S21" s="282">
        <v>22.9</v>
      </c>
      <c r="T21" s="282">
        <v>91.7</v>
      </c>
      <c r="U21" s="282">
        <v>90.9</v>
      </c>
      <c r="V21" s="284">
        <v>91.9</v>
      </c>
      <c r="W21" s="98">
        <f t="shared" si="0"/>
        <v>1681.6200000000001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85.8</v>
      </c>
      <c r="D22" s="282">
        <v>85.8</v>
      </c>
      <c r="E22" s="282">
        <v>20.52</v>
      </c>
      <c r="F22" s="282">
        <v>86.3</v>
      </c>
      <c r="G22" s="282">
        <v>85.3</v>
      </c>
      <c r="H22" s="284">
        <v>87.3</v>
      </c>
      <c r="I22" s="285">
        <v>91.3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91.7</v>
      </c>
      <c r="R22" s="282">
        <v>91.1</v>
      </c>
      <c r="S22" s="282">
        <v>22.9</v>
      </c>
      <c r="T22" s="282">
        <v>91.7</v>
      </c>
      <c r="U22" s="282">
        <v>90.9</v>
      </c>
      <c r="V22" s="284">
        <v>91.9</v>
      </c>
      <c r="W22" s="98">
        <f t="shared" si="0"/>
        <v>1681.4200000000003</v>
      </c>
    </row>
    <row r="23" spans="1:25" ht="39.950000000000003" customHeight="1" x14ac:dyDescent="0.25">
      <c r="A23" s="146" t="s">
        <v>22</v>
      </c>
      <c r="B23" s="281">
        <v>86.9</v>
      </c>
      <c r="C23" s="282">
        <v>85.8</v>
      </c>
      <c r="D23" s="282">
        <v>85.8</v>
      </c>
      <c r="E23" s="282">
        <v>20.399999999999999</v>
      </c>
      <c r="F23" s="282">
        <v>86.3</v>
      </c>
      <c r="G23" s="282">
        <v>85.3</v>
      </c>
      <c r="H23" s="284">
        <v>87.3</v>
      </c>
      <c r="I23" s="285">
        <v>91.3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91.7</v>
      </c>
      <c r="R23" s="282">
        <v>91.1</v>
      </c>
      <c r="S23" s="282">
        <v>22.9</v>
      </c>
      <c r="T23" s="282">
        <v>91.7</v>
      </c>
      <c r="U23" s="282">
        <v>90.9</v>
      </c>
      <c r="V23" s="284">
        <v>91.9</v>
      </c>
      <c r="W23" s="98">
        <f t="shared" si="0"/>
        <v>1681.2000000000003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85.8</v>
      </c>
      <c r="D24" s="282">
        <v>85.7</v>
      </c>
      <c r="E24" s="282">
        <v>20.399999999999999</v>
      </c>
      <c r="F24" s="282">
        <v>86.4</v>
      </c>
      <c r="G24" s="282">
        <v>85.3</v>
      </c>
      <c r="H24" s="284">
        <v>87.2</v>
      </c>
      <c r="I24" s="285">
        <v>91.2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91.7</v>
      </c>
      <c r="R24" s="282">
        <v>91</v>
      </c>
      <c r="S24" s="282">
        <v>22.9</v>
      </c>
      <c r="T24" s="282">
        <v>91.6</v>
      </c>
      <c r="U24" s="282">
        <v>90.8</v>
      </c>
      <c r="V24" s="284">
        <v>91.9</v>
      </c>
      <c r="W24" s="98">
        <f t="shared" si="0"/>
        <v>1680.3000000000002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601</v>
      </c>
      <c r="D25" s="120">
        <f t="shared" ref="D25:V25" si="1">SUM(D18:D24)</f>
        <v>602.1</v>
      </c>
      <c r="E25" s="120">
        <f>SUM(E18:E24)</f>
        <v>147.54</v>
      </c>
      <c r="F25" s="120">
        <f t="shared" si="1"/>
        <v>604.29999999999995</v>
      </c>
      <c r="G25" s="120">
        <f t="shared" si="1"/>
        <v>597.79999999999995</v>
      </c>
      <c r="H25" s="121">
        <f t="shared" si="1"/>
        <v>614</v>
      </c>
      <c r="I25" s="122">
        <f t="shared" si="1"/>
        <v>641.20000000000005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645.50000000000011</v>
      </c>
      <c r="R25" s="120">
        <f t="shared" si="1"/>
        <v>637.90000000000009</v>
      </c>
      <c r="S25" s="120">
        <f>SUM(S18:S24)</f>
        <v>166.00000000000003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644.4</v>
      </c>
      <c r="W25" s="361">
        <f>SUM(W18:W24)</f>
        <v>11803.440000000002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154.98214285714289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85.858919999999912</v>
      </c>
      <c r="D28" s="31">
        <f t="shared" si="2"/>
        <v>86.013899999999907</v>
      </c>
      <c r="E28" s="31">
        <f t="shared" si="2"/>
        <v>21.077279999999977</v>
      </c>
      <c r="F28" s="31">
        <f t="shared" si="2"/>
        <v>86.323859999999897</v>
      </c>
      <c r="G28" s="31">
        <f t="shared" si="2"/>
        <v>85.3939799999999</v>
      </c>
      <c r="H28" s="32">
        <f t="shared" si="2"/>
        <v>87.718679999999907</v>
      </c>
      <c r="I28" s="30">
        <f t="shared" si="2"/>
        <v>91.59317999999989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92.213099999999898</v>
      </c>
      <c r="R28" s="31">
        <f t="shared" si="2"/>
        <v>91.128239999999892</v>
      </c>
      <c r="S28" s="31">
        <f t="shared" si="2"/>
        <v>23.711939999999974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92.058119999999903</v>
      </c>
      <c r="W28" s="362">
        <f>((W25*1000)/7)/W27</f>
        <v>154.98214285714289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601.01243999999929</v>
      </c>
      <c r="D29" s="282">
        <f t="shared" ref="D29:V29" si="3">((D27*D26)*7)/1000</f>
        <v>602.09729999999934</v>
      </c>
      <c r="E29" s="282">
        <f t="shared" si="3"/>
        <v>147.54095999999984</v>
      </c>
      <c r="F29" s="282">
        <f t="shared" si="3"/>
        <v>604.26701999999932</v>
      </c>
      <c r="G29" s="282">
        <f t="shared" si="3"/>
        <v>597.75785999999925</v>
      </c>
      <c r="H29" s="284">
        <f t="shared" si="3"/>
        <v>614.03075999999919</v>
      </c>
      <c r="I29" s="281">
        <f t="shared" si="3"/>
        <v>641.15225999999916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645.49169999999924</v>
      </c>
      <c r="R29" s="282">
        <f t="shared" si="3"/>
        <v>637.89767999999924</v>
      </c>
      <c r="S29" s="282">
        <f t="shared" si="3"/>
        <v>165.98357999999982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644.40683999999931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154.97679216090771</v>
      </c>
      <c r="D30" s="38">
        <f t="shared" si="4"/>
        <v>154.98069498069498</v>
      </c>
      <c r="E30" s="38">
        <f t="shared" si="4"/>
        <v>154.97899159663865</v>
      </c>
      <c r="F30" s="38">
        <f t="shared" si="4"/>
        <v>154.98845857912283</v>
      </c>
      <c r="G30" s="38">
        <f t="shared" si="4"/>
        <v>154.99092558983665</v>
      </c>
      <c r="H30" s="39">
        <f t="shared" si="4"/>
        <v>154.97223624432104</v>
      </c>
      <c r="I30" s="37">
        <f t="shared" si="4"/>
        <v>154.99153976311339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154.98199279711886</v>
      </c>
      <c r="R30" s="38">
        <f t="shared" si="4"/>
        <v>154.98056365403306</v>
      </c>
      <c r="S30" s="38">
        <f t="shared" si="4"/>
        <v>154.99533146591975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154.97835497835496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1.2439999999287465E-2</v>
      </c>
      <c r="D31" s="42">
        <f t="shared" si="5"/>
        <v>-2.7000000006864866E-3</v>
      </c>
      <c r="E31" s="42">
        <f t="shared" si="5"/>
        <v>9.5999999984996975E-4</v>
      </c>
      <c r="F31" s="42">
        <f t="shared" si="5"/>
        <v>-3.2980000000634391E-2</v>
      </c>
      <c r="G31" s="42">
        <f t="shared" si="5"/>
        <v>-4.2140000000699729E-2</v>
      </c>
      <c r="H31" s="42">
        <f t="shared" si="5"/>
        <v>3.0759999999190768E-2</v>
      </c>
      <c r="I31" s="42">
        <f t="shared" si="5"/>
        <v>-4.774000000088563E-2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-8.3000000008723873E-3</v>
      </c>
      <c r="R31" s="42">
        <f t="shared" si="5"/>
        <v>-2.3200000008500865E-3</v>
      </c>
      <c r="S31" s="42">
        <f t="shared" si="5"/>
        <v>-1.6420000000209711E-2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6.8399999993289384E-3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-3.207839092112863E-3</v>
      </c>
      <c r="D32" s="42">
        <f t="shared" si="5"/>
        <v>6.9498069515816496E-4</v>
      </c>
      <c r="E32" s="42">
        <f t="shared" si="5"/>
        <v>-1.0084033611690302E-3</v>
      </c>
      <c r="F32" s="42">
        <f t="shared" si="5"/>
        <v>8.4585791230153973E-3</v>
      </c>
      <c r="G32" s="42">
        <f t="shared" si="5"/>
        <v>1.0925589836830341E-2</v>
      </c>
      <c r="H32" s="42">
        <f t="shared" si="5"/>
        <v>-7.7637556787806261E-3</v>
      </c>
      <c r="I32" s="42">
        <f t="shared" si="5"/>
        <v>1.1539763113574963E-2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1.9927971190440985E-3</v>
      </c>
      <c r="R32" s="42">
        <f t="shared" si="5"/>
        <v>5.6365403324321051E-4</v>
      </c>
      <c r="S32" s="42">
        <f t="shared" si="5"/>
        <v>1.5331465919928178E-2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-1.6450216448617994E-3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2"/>
      <c r="U36" s="1032"/>
      <c r="V36" s="1033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34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70">
        <v>6</v>
      </c>
      <c r="U38" s="615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3">
        <v>6.7</v>
      </c>
      <c r="U39" s="618"/>
      <c r="V39" s="361">
        <f>SUM(O39:U39)</f>
        <v>33.9</v>
      </c>
      <c r="W39" s="49">
        <v>33.9</v>
      </c>
      <c r="X39" s="48">
        <f>W39-V39</f>
        <v>0</v>
      </c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3">
        <v>6.7</v>
      </c>
      <c r="U40" s="618"/>
      <c r="V40" s="98">
        <f t="shared" ref="V40:V45" si="7">SUM(O40:U40)</f>
        <v>33.9</v>
      </c>
      <c r="W40" s="49">
        <v>33.9</v>
      </c>
      <c r="X40" s="48">
        <f t="shared" ref="X40:X45" si="8">W40-V40</f>
        <v>0</v>
      </c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3">
        <v>6.3</v>
      </c>
      <c r="U41" s="618">
        <v>2.6</v>
      </c>
      <c r="V41" s="98">
        <f t="shared" si="7"/>
        <v>33.799999999999997</v>
      </c>
      <c r="W41" s="49">
        <v>33.799999999999997</v>
      </c>
      <c r="X41" s="48">
        <f t="shared" si="8"/>
        <v>0</v>
      </c>
      <c r="Y41" s="14"/>
      <c r="Z41" s="243"/>
    </row>
    <row r="42" spans="1:26" ht="33.75" customHeight="1" x14ac:dyDescent="0.25">
      <c r="A42" s="146" t="s">
        <v>28</v>
      </c>
      <c r="B42" s="281">
        <v>81.8</v>
      </c>
      <c r="C42" s="282">
        <v>82.9</v>
      </c>
      <c r="D42" s="282">
        <v>7.6</v>
      </c>
      <c r="E42" s="282">
        <v>86.2</v>
      </c>
      <c r="F42" s="282">
        <v>85.9</v>
      </c>
      <c r="G42" s="284">
        <v>86.5</v>
      </c>
      <c r="H42" s="264">
        <f t="shared" si="6"/>
        <v>430.9</v>
      </c>
      <c r="I42" s="49"/>
      <c r="J42" s="2"/>
      <c r="K42" s="2"/>
      <c r="L42" s="2"/>
      <c r="M42" s="2"/>
      <c r="N42" s="146" t="s">
        <v>28</v>
      </c>
      <c r="O42" s="281">
        <v>5.8</v>
      </c>
      <c r="P42" s="282">
        <v>5.8</v>
      </c>
      <c r="Q42" s="282">
        <v>0.7</v>
      </c>
      <c r="R42" s="282">
        <v>6.3</v>
      </c>
      <c r="S42" s="282">
        <v>6.3</v>
      </c>
      <c r="T42" s="283">
        <v>6.3</v>
      </c>
      <c r="U42" s="619">
        <v>2.6</v>
      </c>
      <c r="V42" s="98">
        <f t="shared" si="7"/>
        <v>33.799999999999997</v>
      </c>
      <c r="W42" s="49">
        <v>34</v>
      </c>
      <c r="X42" s="48">
        <f t="shared" si="8"/>
        <v>0.20000000000000284</v>
      </c>
      <c r="Y42" s="14"/>
      <c r="Z42" s="243"/>
    </row>
    <row r="43" spans="1:26" ht="33.75" customHeight="1" x14ac:dyDescent="0.25">
      <c r="A43" s="146" t="s">
        <v>21</v>
      </c>
      <c r="B43" s="281">
        <v>81.900000000000006</v>
      </c>
      <c r="C43" s="282">
        <v>82.9</v>
      </c>
      <c r="D43" s="282">
        <v>7.5</v>
      </c>
      <c r="E43" s="282">
        <v>86.1</v>
      </c>
      <c r="F43" s="282">
        <v>85.9</v>
      </c>
      <c r="G43" s="284">
        <v>86.5</v>
      </c>
      <c r="H43" s="264">
        <f t="shared" si="6"/>
        <v>430.79999999999995</v>
      </c>
      <c r="I43" s="49"/>
      <c r="J43" s="222"/>
      <c r="K43" s="222"/>
      <c r="L43" s="222"/>
      <c r="M43" s="2"/>
      <c r="N43" s="146" t="s">
        <v>21</v>
      </c>
      <c r="O43" s="281">
        <v>5.8</v>
      </c>
      <c r="P43" s="282">
        <v>5.8</v>
      </c>
      <c r="Q43" s="282">
        <v>0.7</v>
      </c>
      <c r="R43" s="282">
        <v>6.3</v>
      </c>
      <c r="S43" s="282">
        <v>6.3</v>
      </c>
      <c r="T43" s="283">
        <v>6.3</v>
      </c>
      <c r="U43" s="619">
        <v>2.6</v>
      </c>
      <c r="V43" s="98">
        <f t="shared" si="7"/>
        <v>33.799999999999997</v>
      </c>
      <c r="W43" s="49">
        <v>34.1</v>
      </c>
      <c r="X43" s="48">
        <f t="shared" si="8"/>
        <v>0.30000000000000426</v>
      </c>
      <c r="Y43" s="14"/>
      <c r="Z43" s="243"/>
    </row>
    <row r="44" spans="1:26" ht="33.75" customHeight="1" x14ac:dyDescent="0.25">
      <c r="A44" s="146" t="s">
        <v>22</v>
      </c>
      <c r="B44" s="281">
        <v>81.900000000000006</v>
      </c>
      <c r="C44" s="282">
        <v>82.9</v>
      </c>
      <c r="D44" s="282">
        <v>7.5</v>
      </c>
      <c r="E44" s="282">
        <v>86.1</v>
      </c>
      <c r="F44" s="282">
        <v>85.9</v>
      </c>
      <c r="G44" s="284">
        <v>86.5</v>
      </c>
      <c r="H44" s="264">
        <f t="shared" si="6"/>
        <v>430.79999999999995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5.8</v>
      </c>
      <c r="Q44" s="282">
        <v>0.7</v>
      </c>
      <c r="R44" s="282">
        <v>6.3</v>
      </c>
      <c r="S44" s="282">
        <v>6.3</v>
      </c>
      <c r="T44" s="283">
        <v>6.3</v>
      </c>
      <c r="U44" s="619">
        <v>2.6</v>
      </c>
      <c r="V44" s="98">
        <f t="shared" si="7"/>
        <v>33.799999999999997</v>
      </c>
      <c r="W44" s="49">
        <v>34.200000000000003</v>
      </c>
      <c r="X44" s="48">
        <f t="shared" si="8"/>
        <v>0.40000000000000568</v>
      </c>
      <c r="Y44" s="14"/>
      <c r="Z44" s="243"/>
    </row>
    <row r="45" spans="1:26" ht="33.75" customHeight="1" thickBot="1" x14ac:dyDescent="0.3">
      <c r="A45" s="146" t="s">
        <v>23</v>
      </c>
      <c r="B45" s="281">
        <v>81.900000000000006</v>
      </c>
      <c r="C45" s="282">
        <v>82.8</v>
      </c>
      <c r="D45" s="282">
        <v>7.5</v>
      </c>
      <c r="E45" s="282">
        <v>86.1</v>
      </c>
      <c r="F45" s="282">
        <v>85.8</v>
      </c>
      <c r="G45" s="284">
        <v>86.6</v>
      </c>
      <c r="H45" s="265">
        <f t="shared" si="6"/>
        <v>430.69999999999993</v>
      </c>
      <c r="I45" s="559"/>
      <c r="J45" s="41"/>
      <c r="K45" s="41"/>
      <c r="L45" s="41"/>
      <c r="M45" s="2"/>
      <c r="N45" s="146" t="s">
        <v>23</v>
      </c>
      <c r="O45" s="586">
        <v>5.8</v>
      </c>
      <c r="P45" s="561">
        <v>5.8</v>
      </c>
      <c r="Q45" s="561">
        <v>0.7</v>
      </c>
      <c r="R45" s="561">
        <v>6.3</v>
      </c>
      <c r="S45" s="561">
        <v>6.3</v>
      </c>
      <c r="T45" s="474">
        <v>6.3</v>
      </c>
      <c r="U45" s="255">
        <v>2.6</v>
      </c>
      <c r="V45" s="98">
        <f t="shared" si="7"/>
        <v>33.799999999999997</v>
      </c>
      <c r="W45" s="49">
        <v>34.200000000000003</v>
      </c>
      <c r="X45" s="48">
        <f t="shared" si="8"/>
        <v>0.40000000000000568</v>
      </c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9">SUM(B39:B45)</f>
        <v>573.29999999999995</v>
      </c>
      <c r="C46" s="611">
        <f t="shared" si="9"/>
        <v>554.99999999999989</v>
      </c>
      <c r="D46" s="611">
        <f>SUM(D39:D45)</f>
        <v>85.1</v>
      </c>
      <c r="E46" s="611">
        <f t="shared" si="9"/>
        <v>604.5</v>
      </c>
      <c r="F46" s="611">
        <f t="shared" si="9"/>
        <v>601.29999999999995</v>
      </c>
      <c r="G46" s="612">
        <f t="shared" si="9"/>
        <v>605.6</v>
      </c>
      <c r="H46" s="560">
        <f t="shared" si="6"/>
        <v>3024.7999999999997</v>
      </c>
      <c r="I46" s="559"/>
      <c r="J46" s="42"/>
      <c r="K46" s="42"/>
      <c r="L46" s="42"/>
      <c r="N46" s="145" t="s">
        <v>9</v>
      </c>
      <c r="O46" s="122">
        <f t="shared" ref="O46:T46" si="10">SUM(O39:O45)</f>
        <v>41.8</v>
      </c>
      <c r="P46" s="120">
        <f t="shared" si="10"/>
        <v>41.8</v>
      </c>
      <c r="Q46" s="120">
        <f t="shared" si="10"/>
        <v>5.9</v>
      </c>
      <c r="R46" s="120">
        <f t="shared" si="10"/>
        <v>44.899999999999991</v>
      </c>
      <c r="S46" s="120">
        <f t="shared" si="10"/>
        <v>44.5</v>
      </c>
      <c r="T46" s="120">
        <f t="shared" si="10"/>
        <v>44.899999999999991</v>
      </c>
      <c r="U46" s="121">
        <f t="shared" ref="U46" si="11">SUM(U39:U45)</f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153.94167642119189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6" ht="33.75" customHeight="1" x14ac:dyDescent="0.25">
      <c r="A49" s="150" t="s">
        <v>13</v>
      </c>
      <c r="B49" s="30">
        <f>(((((B47*7)*B48)/1000)/7))</f>
        <v>81.896079999999955</v>
      </c>
      <c r="C49" s="31">
        <f t="shared" ref="C49:G49" si="12">(((((C47*7)*C48)/1000)/7))</f>
        <v>79.279099999999957</v>
      </c>
      <c r="D49" s="31">
        <f t="shared" si="12"/>
        <v>12.161259999999995</v>
      </c>
      <c r="E49" s="31">
        <f t="shared" si="12"/>
        <v>86.360339999999951</v>
      </c>
      <c r="F49" s="31">
        <f t="shared" si="12"/>
        <v>85.898519999999948</v>
      </c>
      <c r="G49" s="32">
        <f t="shared" si="12"/>
        <v>86.514279999999971</v>
      </c>
      <c r="H49" s="130">
        <f>((H46*1000)/H48)/7</f>
        <v>153.94167642119189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T49" si="13">((((P47*7)*P48)/1000)/7)</f>
        <v>5.7379999999999995</v>
      </c>
      <c r="Q49" s="31">
        <f t="shared" si="13"/>
        <v>0.77749999999999997</v>
      </c>
      <c r="R49" s="31">
        <f t="shared" si="13"/>
        <v>6.3140000000000001</v>
      </c>
      <c r="S49" s="31">
        <f t="shared" si="13"/>
        <v>6.3140000000000001</v>
      </c>
      <c r="T49" s="31">
        <f t="shared" si="13"/>
        <v>6.3755000000000006</v>
      </c>
      <c r="U49" s="32">
        <f t="shared" ref="U49" si="14">((((U47*7)*U48)/1000)/7)</f>
        <v>2.6435</v>
      </c>
      <c r="V49" s="454">
        <f>((V46*1000)/V48)/7</f>
        <v>153.07045895281186</v>
      </c>
      <c r="W49" s="192"/>
      <c r="Y49" s="14"/>
      <c r="Z49" s="243"/>
    </row>
    <row r="50" spans="1:26" ht="33.75" customHeight="1" x14ac:dyDescent="0.25">
      <c r="A50" s="151" t="s">
        <v>14</v>
      </c>
      <c r="B50" s="281">
        <f>((B48*B47)*7)/1000</f>
        <v>573.27255999999977</v>
      </c>
      <c r="C50" s="282">
        <f t="shared" ref="C50:G50" si="15">((C48*C47)*7)/1000</f>
        <v>554.9536999999998</v>
      </c>
      <c r="D50" s="282">
        <f t="shared" si="15"/>
        <v>85.128819999999962</v>
      </c>
      <c r="E50" s="282">
        <f t="shared" si="15"/>
        <v>604.52237999999977</v>
      </c>
      <c r="F50" s="282">
        <f t="shared" si="15"/>
        <v>601.28963999999962</v>
      </c>
      <c r="G50" s="284">
        <f t="shared" si="15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T50" si="16">((O48*O47)*7)/1000</f>
        <v>40.165999999999997</v>
      </c>
      <c r="P50" s="282">
        <f t="shared" si="16"/>
        <v>40.165999999999997</v>
      </c>
      <c r="Q50" s="282">
        <f t="shared" si="16"/>
        <v>5.4424999999999999</v>
      </c>
      <c r="R50" s="282">
        <f t="shared" si="16"/>
        <v>44.198</v>
      </c>
      <c r="S50" s="282">
        <f t="shared" si="16"/>
        <v>44.198</v>
      </c>
      <c r="T50" s="282">
        <f t="shared" si="16"/>
        <v>44.628500000000003</v>
      </c>
      <c r="U50" s="284">
        <f t="shared" ref="U50" si="17">((U48*U47)*7)/1000</f>
        <v>18.5045</v>
      </c>
      <c r="V50" s="36"/>
      <c r="Y50" s="14"/>
      <c r="Z50" s="243"/>
    </row>
    <row r="51" spans="1:26" ht="33.75" customHeight="1" thickBot="1" x14ac:dyDescent="0.3">
      <c r="A51" s="152" t="s">
        <v>15</v>
      </c>
      <c r="B51" s="37">
        <f t="shared" ref="B51:G51" si="18">+(B46/B48)/7*1000</f>
        <v>153.9473684210526</v>
      </c>
      <c r="C51" s="38">
        <f t="shared" si="18"/>
        <v>153.95284327323159</v>
      </c>
      <c r="D51" s="38">
        <f t="shared" si="18"/>
        <v>153.88788426763108</v>
      </c>
      <c r="E51" s="38">
        <f t="shared" si="18"/>
        <v>153.93430099312451</v>
      </c>
      <c r="F51" s="38">
        <f t="shared" si="18"/>
        <v>153.94265232974911</v>
      </c>
      <c r="G51" s="39">
        <f t="shared" si="18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9">+(O46/O48)/7*1000</f>
        <v>157.14285714285711</v>
      </c>
      <c r="P51" s="38">
        <f t="shared" si="19"/>
        <v>157.14285714285711</v>
      </c>
      <c r="Q51" s="38">
        <f t="shared" si="19"/>
        <v>168.57142857142858</v>
      </c>
      <c r="R51" s="38">
        <f t="shared" si="19"/>
        <v>156.44599303135885</v>
      </c>
      <c r="S51" s="38">
        <f t="shared" si="19"/>
        <v>155.05226480836237</v>
      </c>
      <c r="T51" s="38">
        <f t="shared" si="19"/>
        <v>156.44599303135885</v>
      </c>
      <c r="U51" s="39">
        <f t="shared" ref="U51" si="20">+(U46/U48)/7*1000</f>
        <v>109.24369747899158</v>
      </c>
      <c r="V51" s="324"/>
      <c r="W51" s="42"/>
      <c r="Y51" s="14"/>
      <c r="Z51" s="243"/>
    </row>
    <row r="52" spans="1:26" ht="33.75" customHeight="1" x14ac:dyDescent="0.25">
      <c r="A52" s="41"/>
      <c r="B52" s="42">
        <f>B50-B46</f>
        <v>-2.7440000000183318E-2</v>
      </c>
      <c r="C52" s="42">
        <f t="shared" ref="C52:G53" si="21">C50-C46</f>
        <v>-4.6300000000087493E-2</v>
      </c>
      <c r="D52" s="42">
        <f t="shared" si="21"/>
        <v>2.8819999999967649E-2</v>
      </c>
      <c r="E52" s="42">
        <f t="shared" si="21"/>
        <v>2.2379999999770916E-2</v>
      </c>
      <c r="F52" s="42">
        <f t="shared" si="21"/>
        <v>-1.0360000000332548E-2</v>
      </c>
      <c r="G52" s="42">
        <f t="shared" si="21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T53" si="22">O50-O46</f>
        <v>-1.6340000000000003</v>
      </c>
      <c r="P52" s="42">
        <f t="shared" si="22"/>
        <v>-1.6340000000000003</v>
      </c>
      <c r="Q52" s="42">
        <f t="shared" si="22"/>
        <v>-0.45750000000000046</v>
      </c>
      <c r="R52" s="42">
        <f t="shared" si="22"/>
        <v>-0.70199999999999108</v>
      </c>
      <c r="S52" s="42">
        <f t="shared" si="22"/>
        <v>-0.3019999999999996</v>
      </c>
      <c r="T52" s="42">
        <f t="shared" si="22"/>
        <v>-0.27149999999998897</v>
      </c>
      <c r="U52" s="42">
        <f t="shared" ref="U52" si="23">U50-U46</f>
        <v>5.5045000000000002</v>
      </c>
    </row>
    <row r="53" spans="1:26" ht="33.75" customHeight="1" x14ac:dyDescent="0.25">
      <c r="A53" s="41"/>
      <c r="B53" s="42">
        <f>B51-B47</f>
        <v>7.3684210526607785E-3</v>
      </c>
      <c r="C53" s="42">
        <f t="shared" si="21"/>
        <v>1.2843273231652574E-2</v>
      </c>
      <c r="D53" s="42">
        <f t="shared" si="21"/>
        <v>-5.2115732368861245E-2</v>
      </c>
      <c r="E53" s="42">
        <f t="shared" si="21"/>
        <v>-5.6990068754316781E-3</v>
      </c>
      <c r="F53" s="42">
        <f t="shared" si="21"/>
        <v>2.6523297491678477E-3</v>
      </c>
      <c r="G53" s="42">
        <f t="shared" si="21"/>
        <v>1.0167768238034114E-5</v>
      </c>
      <c r="I53" s="2"/>
      <c r="J53" s="2"/>
      <c r="K53" s="45"/>
      <c r="L53" s="41"/>
      <c r="M53" s="42"/>
      <c r="N53" s="42"/>
      <c r="O53" s="42">
        <f t="shared" si="22"/>
        <v>6.1428571428571104</v>
      </c>
      <c r="P53" s="42">
        <f t="shared" si="22"/>
        <v>6.1428571428571104</v>
      </c>
      <c r="Q53" s="42">
        <f t="shared" si="22"/>
        <v>13.071428571428584</v>
      </c>
      <c r="R53" s="42">
        <f t="shared" si="22"/>
        <v>2.4459930313588529</v>
      </c>
      <c r="S53" s="42">
        <f t="shared" si="22"/>
        <v>1.0522648083623665</v>
      </c>
      <c r="T53" s="42">
        <f t="shared" si="22"/>
        <v>0.94599303135885293</v>
      </c>
      <c r="U53" s="42">
        <f t="shared" ref="U53" si="24">U51-U47</f>
        <v>-46.256302521008422</v>
      </c>
      <c r="W53" s="2"/>
    </row>
    <row r="54" spans="1:26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2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25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25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25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25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25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25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W67" si="26">SUM(D60:D66)</f>
        <v>47.399999999999991</v>
      </c>
      <c r="E67" s="120">
        <f t="shared" si="26"/>
        <v>12.100000000000001</v>
      </c>
      <c r="F67" s="120">
        <f t="shared" si="26"/>
        <v>48.5</v>
      </c>
      <c r="G67" s="120">
        <f t="shared" si="26"/>
        <v>48.2</v>
      </c>
      <c r="H67" s="121">
        <f t="shared" si="26"/>
        <v>48.2</v>
      </c>
      <c r="I67" s="119">
        <f t="shared" si="26"/>
        <v>48.8</v>
      </c>
      <c r="J67" s="120">
        <f t="shared" si="26"/>
        <v>48.8</v>
      </c>
      <c r="K67" s="120">
        <f t="shared" si="26"/>
        <v>49.800000000000004</v>
      </c>
      <c r="L67" s="120">
        <f t="shared" si="26"/>
        <v>12.200000000000001</v>
      </c>
      <c r="M67" s="120">
        <f t="shared" si="26"/>
        <v>48.5</v>
      </c>
      <c r="N67" s="120">
        <f t="shared" si="26"/>
        <v>49.300000000000004</v>
      </c>
      <c r="O67" s="121">
        <f t="shared" si="26"/>
        <v>48.2</v>
      </c>
      <c r="P67" s="119">
        <f t="shared" si="26"/>
        <v>57.300000000000011</v>
      </c>
      <c r="Q67" s="120">
        <f t="shared" si="26"/>
        <v>57.300000000000004</v>
      </c>
      <c r="R67" s="120">
        <f t="shared" si="26"/>
        <v>56.199999999999996</v>
      </c>
      <c r="S67" s="120">
        <f t="shared" si="26"/>
        <v>13.200000000000001</v>
      </c>
      <c r="T67" s="120">
        <f t="shared" si="26"/>
        <v>54</v>
      </c>
      <c r="U67" s="120">
        <f t="shared" si="26"/>
        <v>53.500000000000007</v>
      </c>
      <c r="V67" s="268">
        <f t="shared" si="26"/>
        <v>53.500000000000007</v>
      </c>
      <c r="W67" s="268">
        <f t="shared" si="26"/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W70" si="27">((((C68*7)*C69)/1000)/7)</f>
        <v>6.952</v>
      </c>
      <c r="D70" s="31">
        <f t="shared" si="27"/>
        <v>6.7725</v>
      </c>
      <c r="E70" s="31">
        <f t="shared" si="27"/>
        <v>1.7324999999999999</v>
      </c>
      <c r="F70" s="31">
        <f t="shared" si="27"/>
        <v>6.93</v>
      </c>
      <c r="G70" s="31">
        <f t="shared" si="27"/>
        <v>6.8860000000000001</v>
      </c>
      <c r="H70" s="32">
        <f t="shared" si="27"/>
        <v>6.8860000000000001</v>
      </c>
      <c r="I70" s="65">
        <f t="shared" si="27"/>
        <v>6.9739999999999993</v>
      </c>
      <c r="J70" s="31">
        <f t="shared" si="27"/>
        <v>6.9739999999999993</v>
      </c>
      <c r="K70" s="31">
        <f t="shared" si="27"/>
        <v>7.11</v>
      </c>
      <c r="L70" s="31">
        <f t="shared" si="27"/>
        <v>1.738</v>
      </c>
      <c r="M70" s="31">
        <f t="shared" si="27"/>
        <v>6.93</v>
      </c>
      <c r="N70" s="31">
        <f t="shared" si="27"/>
        <v>7.0424999999999995</v>
      </c>
      <c r="O70" s="32">
        <f t="shared" si="27"/>
        <v>6.8860000000000001</v>
      </c>
      <c r="P70" s="65">
        <f t="shared" si="27"/>
        <v>8.1854999999999993</v>
      </c>
      <c r="Q70" s="31">
        <f t="shared" si="27"/>
        <v>8.1854999999999993</v>
      </c>
      <c r="R70" s="31">
        <f t="shared" si="27"/>
        <v>8.0325000000000006</v>
      </c>
      <c r="S70" s="31">
        <f t="shared" si="27"/>
        <v>1.8900000000000001</v>
      </c>
      <c r="T70" s="31">
        <f t="shared" si="27"/>
        <v>7.7175000000000002</v>
      </c>
      <c r="U70" s="31">
        <f t="shared" si="27"/>
        <v>7.6440000000000001</v>
      </c>
      <c r="V70" s="142">
        <f t="shared" si="27"/>
        <v>7.6440000000000001</v>
      </c>
      <c r="W70" s="142">
        <f t="shared" si="27"/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W71" si="28">((D69*D68)*7)/1000</f>
        <v>47.407499999999999</v>
      </c>
      <c r="E71" s="282">
        <f t="shared" si="28"/>
        <v>12.1275</v>
      </c>
      <c r="F71" s="282">
        <f t="shared" si="28"/>
        <v>48.51</v>
      </c>
      <c r="G71" s="282">
        <f t="shared" si="28"/>
        <v>48.201999999999998</v>
      </c>
      <c r="H71" s="284">
        <f t="shared" si="28"/>
        <v>48.201999999999998</v>
      </c>
      <c r="I71" s="285">
        <f t="shared" si="28"/>
        <v>48.817999999999998</v>
      </c>
      <c r="J71" s="282">
        <f t="shared" si="28"/>
        <v>48.817999999999998</v>
      </c>
      <c r="K71" s="282">
        <f t="shared" si="28"/>
        <v>49.77</v>
      </c>
      <c r="L71" s="282">
        <f t="shared" si="28"/>
        <v>12.166</v>
      </c>
      <c r="M71" s="282">
        <f t="shared" si="28"/>
        <v>48.51</v>
      </c>
      <c r="N71" s="282">
        <f t="shared" si="28"/>
        <v>49.297499999999999</v>
      </c>
      <c r="O71" s="284">
        <f t="shared" si="28"/>
        <v>48.201999999999998</v>
      </c>
      <c r="P71" s="285">
        <f t="shared" si="28"/>
        <v>57.298499999999997</v>
      </c>
      <c r="Q71" s="282">
        <f t="shared" si="28"/>
        <v>57.298499999999997</v>
      </c>
      <c r="R71" s="282">
        <f t="shared" si="28"/>
        <v>56.227499999999999</v>
      </c>
      <c r="S71" s="282">
        <f t="shared" si="28"/>
        <v>13.23</v>
      </c>
      <c r="T71" s="282">
        <f t="shared" si="28"/>
        <v>54.022500000000001</v>
      </c>
      <c r="U71" s="282">
        <f t="shared" si="28"/>
        <v>53.508000000000003</v>
      </c>
      <c r="V71" s="283">
        <f t="shared" si="28"/>
        <v>53.508000000000003</v>
      </c>
      <c r="W71" s="283">
        <f t="shared" si="28"/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W72" si="29">+(C67/C69)/7*1000</f>
        <v>158.11688311688309</v>
      </c>
      <c r="D72" s="38">
        <f t="shared" si="29"/>
        <v>157.47508305647835</v>
      </c>
      <c r="E72" s="38">
        <f>+(E67/E69)/7*1000</f>
        <v>157.14285714285717</v>
      </c>
      <c r="F72" s="38">
        <f t="shared" si="29"/>
        <v>157.46753246753246</v>
      </c>
      <c r="G72" s="38">
        <f t="shared" si="29"/>
        <v>156.49350649350649</v>
      </c>
      <c r="H72" s="39">
        <f t="shared" si="29"/>
        <v>156.49350649350649</v>
      </c>
      <c r="I72" s="67">
        <f t="shared" si="29"/>
        <v>158.44155844155844</v>
      </c>
      <c r="J72" s="38">
        <f t="shared" si="29"/>
        <v>158.44155844155844</v>
      </c>
      <c r="K72" s="38">
        <f t="shared" si="29"/>
        <v>158.0952380952381</v>
      </c>
      <c r="L72" s="38">
        <f t="shared" si="29"/>
        <v>158.44155844155844</v>
      </c>
      <c r="M72" s="38">
        <f t="shared" si="29"/>
        <v>157.46753246753246</v>
      </c>
      <c r="N72" s="38">
        <f t="shared" si="29"/>
        <v>156.50793650793651</v>
      </c>
      <c r="O72" s="39">
        <f t="shared" si="29"/>
        <v>156.49350649350649</v>
      </c>
      <c r="P72" s="67">
        <f t="shared" si="29"/>
        <v>160.50420168067231</v>
      </c>
      <c r="Q72" s="38">
        <f t="shared" si="29"/>
        <v>160.50420168067228</v>
      </c>
      <c r="R72" s="38">
        <f t="shared" si="29"/>
        <v>157.42296918767505</v>
      </c>
      <c r="S72" s="38">
        <f t="shared" si="29"/>
        <v>157.14285714285717</v>
      </c>
      <c r="T72" s="38">
        <f t="shared" si="29"/>
        <v>157.43440233236151</v>
      </c>
      <c r="U72" s="38">
        <f t="shared" si="29"/>
        <v>155.97667638483966</v>
      </c>
      <c r="V72" s="158">
        <f t="shared" si="29"/>
        <v>155.97667638483966</v>
      </c>
      <c r="W72" s="158">
        <f t="shared" si="29"/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W74" si="30">C71-C67</f>
        <v>-3.5999999999994259E-2</v>
      </c>
      <c r="D73" s="42">
        <f t="shared" si="30"/>
        <v>7.5000000000073896E-3</v>
      </c>
      <c r="E73" s="42">
        <f t="shared" si="30"/>
        <v>2.7499999999998082E-2</v>
      </c>
      <c r="F73" s="42">
        <f t="shared" si="30"/>
        <v>9.9999999999980105E-3</v>
      </c>
      <c r="G73" s="42">
        <f t="shared" si="30"/>
        <v>1.9999999999953388E-3</v>
      </c>
      <c r="H73" s="42">
        <f t="shared" si="30"/>
        <v>1.9999999999953388E-3</v>
      </c>
      <c r="I73" s="42">
        <f t="shared" si="30"/>
        <v>1.8000000000000682E-2</v>
      </c>
      <c r="J73" s="42">
        <f t="shared" si="30"/>
        <v>1.8000000000000682E-2</v>
      </c>
      <c r="K73" s="42">
        <f t="shared" si="30"/>
        <v>-3.0000000000001137E-2</v>
      </c>
      <c r="L73" s="42">
        <f>L71-L67</f>
        <v>-3.4000000000000696E-2</v>
      </c>
      <c r="M73" s="42">
        <f t="shared" si="30"/>
        <v>9.9999999999980105E-3</v>
      </c>
      <c r="N73" s="42">
        <f t="shared" si="30"/>
        <v>-2.5000000000048317E-3</v>
      </c>
      <c r="O73" s="42">
        <f t="shared" si="30"/>
        <v>1.9999999999953388E-3</v>
      </c>
      <c r="P73" s="42">
        <f t="shared" si="30"/>
        <v>-1.5000000000142677E-3</v>
      </c>
      <c r="Q73" s="42">
        <f t="shared" si="30"/>
        <v>-1.5000000000071623E-3</v>
      </c>
      <c r="R73" s="42">
        <f t="shared" si="30"/>
        <v>2.7500000000003411E-2</v>
      </c>
      <c r="S73" s="42">
        <f t="shared" si="30"/>
        <v>2.9999999999999361E-2</v>
      </c>
      <c r="T73" s="42">
        <f t="shared" si="30"/>
        <v>2.2500000000000853E-2</v>
      </c>
      <c r="U73" s="42">
        <f t="shared" si="30"/>
        <v>7.9999999999955662E-3</v>
      </c>
      <c r="V73" s="42">
        <f t="shared" si="30"/>
        <v>7.9999999999955662E-3</v>
      </c>
      <c r="W73" s="42">
        <f t="shared" si="30"/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30"/>
        <v>0.11688311688308772</v>
      </c>
      <c r="D74" s="42">
        <f t="shared" si="30"/>
        <v>-2.4916943521645862E-2</v>
      </c>
      <c r="E74" s="42">
        <f t="shared" si="30"/>
        <v>-0.35714285714283278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-5.8441558441558072E-2</v>
      </c>
      <c r="J74" s="42">
        <f t="shared" si="30"/>
        <v>-5.8441558441558072E-2</v>
      </c>
      <c r="K74" s="42">
        <f t="shared" si="30"/>
        <v>9.5238095238102005E-2</v>
      </c>
      <c r="L74" s="42">
        <f t="shared" si="30"/>
        <v>0.44155844155844193</v>
      </c>
      <c r="M74" s="42">
        <f t="shared" si="30"/>
        <v>-3.246753246753542E-2</v>
      </c>
      <c r="N74" s="42">
        <f t="shared" si="30"/>
        <v>7.936507936506132E-3</v>
      </c>
      <c r="O74" s="42">
        <f t="shared" si="30"/>
        <v>-6.4935064935127684E-3</v>
      </c>
      <c r="P74" s="42">
        <f t="shared" si="30"/>
        <v>4.2016806723097488E-3</v>
      </c>
      <c r="Q74" s="42">
        <f>Q72-Q68</f>
        <v>4.2016806722813271E-3</v>
      </c>
      <c r="R74" s="42">
        <f t="shared" si="30"/>
        <v>-7.7030812324949238E-2</v>
      </c>
      <c r="S74" s="42">
        <f t="shared" si="30"/>
        <v>-0.35714285714283278</v>
      </c>
      <c r="T74" s="42">
        <f t="shared" si="30"/>
        <v>-6.5597667638485291E-2</v>
      </c>
      <c r="U74" s="42">
        <f t="shared" si="30"/>
        <v>-2.3323615160336431E-2</v>
      </c>
      <c r="V74" s="42">
        <f t="shared" si="30"/>
        <v>-2.3323615160336431E-2</v>
      </c>
      <c r="W74" s="42">
        <f t="shared" si="30"/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B57:H57"/>
    <mergeCell ref="I57:O57"/>
    <mergeCell ref="P57:V57"/>
    <mergeCell ref="O36:V36"/>
  </mergeCells>
  <pageMargins left="0.7" right="0.7" top="0.75" bottom="0.75" header="0.3" footer="0.3"/>
  <pageSetup paperSize="9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70"/>
  <dimension ref="A1:AA237"/>
  <sheetViews>
    <sheetView topLeftCell="A28" zoomScale="25" zoomScaleNormal="25" workbookViewId="0">
      <selection activeCell="B68" sqref="B68:X6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0.42578125" style="14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50</v>
      </c>
      <c r="Q11" s="1022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6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53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538">
        <f t="shared" si="0"/>
        <v>1691.6999999999998</v>
      </c>
    </row>
    <row r="21" spans="1:25" ht="39.950000000000003" customHeight="1" x14ac:dyDescent="0.25">
      <c r="A21" s="146" t="s">
        <v>28</v>
      </c>
      <c r="B21" s="599">
        <v>86.9</v>
      </c>
      <c r="C21" s="600">
        <v>85.8</v>
      </c>
      <c r="D21" s="600">
        <v>85.8</v>
      </c>
      <c r="E21" s="600">
        <v>20.5</v>
      </c>
      <c r="F21" s="600">
        <v>86.3</v>
      </c>
      <c r="G21" s="600">
        <v>85.3</v>
      </c>
      <c r="H21" s="601">
        <v>87.3</v>
      </c>
      <c r="I21" s="602">
        <v>91.3</v>
      </c>
      <c r="J21" s="600">
        <v>90.7</v>
      </c>
      <c r="K21" s="600">
        <v>92.9</v>
      </c>
      <c r="L21" s="600">
        <v>22.1</v>
      </c>
      <c r="M21" s="600">
        <v>91.1</v>
      </c>
      <c r="N21" s="600">
        <v>91.6</v>
      </c>
      <c r="O21" s="600">
        <v>92.2</v>
      </c>
      <c r="P21" s="599">
        <v>91.5</v>
      </c>
      <c r="Q21" s="600">
        <v>91.8</v>
      </c>
      <c r="R21" s="600">
        <v>91.1</v>
      </c>
      <c r="S21" s="600">
        <v>22.9</v>
      </c>
      <c r="T21" s="600">
        <v>91.7</v>
      </c>
      <c r="U21" s="600">
        <v>90.9</v>
      </c>
      <c r="V21" s="601">
        <v>91.9</v>
      </c>
      <c r="W21" s="538">
        <f t="shared" si="0"/>
        <v>1681.6000000000001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85.4</v>
      </c>
      <c r="D22" s="282">
        <v>85.8</v>
      </c>
      <c r="E22" s="282">
        <v>19.7</v>
      </c>
      <c r="F22" s="282">
        <v>86.3</v>
      </c>
      <c r="G22" s="282">
        <v>84.9</v>
      </c>
      <c r="H22" s="284">
        <v>87.3</v>
      </c>
      <c r="I22" s="285">
        <v>90.5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91.3</v>
      </c>
      <c r="R22" s="282">
        <v>91.1</v>
      </c>
      <c r="S22" s="282">
        <v>22.5</v>
      </c>
      <c r="T22" s="282">
        <v>91.7</v>
      </c>
      <c r="U22" s="282">
        <v>90.9</v>
      </c>
      <c r="V22" s="284">
        <v>91.5</v>
      </c>
      <c r="W22" s="538">
        <f t="shared" si="0"/>
        <v>1677.8</v>
      </c>
    </row>
    <row r="23" spans="1:25" ht="39.950000000000003" customHeight="1" x14ac:dyDescent="0.25">
      <c r="A23" s="146" t="s">
        <v>22</v>
      </c>
      <c r="B23" s="281">
        <v>86.9</v>
      </c>
      <c r="C23" s="282">
        <v>85.4</v>
      </c>
      <c r="D23" s="282">
        <v>85.8</v>
      </c>
      <c r="E23" s="282">
        <v>19.7</v>
      </c>
      <c r="F23" s="282">
        <v>86.3</v>
      </c>
      <c r="G23" s="282">
        <v>84.9</v>
      </c>
      <c r="H23" s="284">
        <v>87.3</v>
      </c>
      <c r="I23" s="285">
        <v>90.5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91.3</v>
      </c>
      <c r="R23" s="282">
        <v>91.1</v>
      </c>
      <c r="S23" s="282">
        <v>22.5</v>
      </c>
      <c r="T23" s="282">
        <v>91.7</v>
      </c>
      <c r="U23" s="282">
        <v>90.9</v>
      </c>
      <c r="V23" s="284">
        <v>91.5</v>
      </c>
      <c r="W23" s="538">
        <f t="shared" si="0"/>
        <v>1677.7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85.5</v>
      </c>
      <c r="D24" s="282">
        <v>85.7</v>
      </c>
      <c r="E24" s="282">
        <v>19.8</v>
      </c>
      <c r="F24" s="282">
        <v>86.4</v>
      </c>
      <c r="G24" s="282">
        <v>85</v>
      </c>
      <c r="H24" s="284">
        <v>87.2</v>
      </c>
      <c r="I24" s="285">
        <v>90.6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91.4</v>
      </c>
      <c r="R24" s="282">
        <v>91</v>
      </c>
      <c r="S24" s="282">
        <v>22.6</v>
      </c>
      <c r="T24" s="282">
        <v>91.6</v>
      </c>
      <c r="U24" s="282">
        <v>90.8</v>
      </c>
      <c r="V24" s="284">
        <v>91.6</v>
      </c>
      <c r="W24" s="538">
        <f t="shared" si="0"/>
        <v>1677.6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599.9</v>
      </c>
      <c r="D25" s="120">
        <f t="shared" ref="D25:V25" si="1">SUM(D18:D24)</f>
        <v>602.1</v>
      </c>
      <c r="E25" s="120">
        <f>SUM(E18:E24)</f>
        <v>145.4</v>
      </c>
      <c r="F25" s="120">
        <f t="shared" si="1"/>
        <v>604.29999999999995</v>
      </c>
      <c r="G25" s="120">
        <f t="shared" si="1"/>
        <v>596.70000000000005</v>
      </c>
      <c r="H25" s="121">
        <f t="shared" si="1"/>
        <v>614</v>
      </c>
      <c r="I25" s="122">
        <f t="shared" si="1"/>
        <v>639.00000000000011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644.4</v>
      </c>
      <c r="R25" s="120">
        <f t="shared" si="1"/>
        <v>637.90000000000009</v>
      </c>
      <c r="S25" s="120">
        <f>SUM(S18:S24)</f>
        <v>164.9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643.30000000000007</v>
      </c>
      <c r="W25" s="361">
        <f>SUM(W18:W24)</f>
        <v>11793.600000000002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154.98114248919146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553</v>
      </c>
      <c r="D27" s="27">
        <v>555</v>
      </c>
      <c r="E27" s="27">
        <v>134</v>
      </c>
      <c r="F27" s="27">
        <v>557</v>
      </c>
      <c r="G27" s="27">
        <v>550</v>
      </c>
      <c r="H27" s="28">
        <v>566</v>
      </c>
      <c r="I27" s="26">
        <v>589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594</v>
      </c>
      <c r="R27" s="27">
        <v>588</v>
      </c>
      <c r="S27" s="27">
        <v>152</v>
      </c>
      <c r="T27" s="27">
        <v>591</v>
      </c>
      <c r="U27" s="27">
        <v>588</v>
      </c>
      <c r="V27" s="28">
        <v>593</v>
      </c>
      <c r="W27" s="29">
        <f>SUM(B27:V27)</f>
        <v>10871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85.703939999999889</v>
      </c>
      <c r="D28" s="31">
        <f t="shared" si="2"/>
        <v>86.013899999999907</v>
      </c>
      <c r="E28" s="31">
        <f t="shared" si="2"/>
        <v>20.76731999999998</v>
      </c>
      <c r="F28" s="31">
        <f t="shared" si="2"/>
        <v>86.323859999999897</v>
      </c>
      <c r="G28" s="31">
        <f t="shared" si="2"/>
        <v>85.238999999999905</v>
      </c>
      <c r="H28" s="32">
        <f t="shared" si="2"/>
        <v>87.718679999999907</v>
      </c>
      <c r="I28" s="30">
        <f t="shared" si="2"/>
        <v>91.283219999999886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92.058119999999903</v>
      </c>
      <c r="R28" s="31">
        <f t="shared" si="2"/>
        <v>91.128239999999892</v>
      </c>
      <c r="S28" s="31">
        <f t="shared" si="2"/>
        <v>23.556959999999972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91.903139999999894</v>
      </c>
      <c r="W28" s="362">
        <f>((W25*1000)/7)/W27</f>
        <v>154.98114248919146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599.92757999999924</v>
      </c>
      <c r="D29" s="282">
        <f t="shared" ref="D29:V29" si="3">((D27*D26)*7)/1000</f>
        <v>602.09729999999934</v>
      </c>
      <c r="E29" s="282">
        <f t="shared" si="3"/>
        <v>145.37123999999983</v>
      </c>
      <c r="F29" s="282">
        <f t="shared" si="3"/>
        <v>604.26701999999932</v>
      </c>
      <c r="G29" s="282">
        <f t="shared" si="3"/>
        <v>596.67299999999932</v>
      </c>
      <c r="H29" s="284">
        <f t="shared" si="3"/>
        <v>614.03075999999919</v>
      </c>
      <c r="I29" s="281">
        <f t="shared" si="3"/>
        <v>638.98253999999929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644.40683999999931</v>
      </c>
      <c r="R29" s="282">
        <f t="shared" si="3"/>
        <v>637.89767999999924</v>
      </c>
      <c r="S29" s="282">
        <f t="shared" si="3"/>
        <v>164.89871999999983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643.32197999999926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154.97287522603978</v>
      </c>
      <c r="D30" s="38">
        <f t="shared" si="4"/>
        <v>154.98069498069498</v>
      </c>
      <c r="E30" s="38">
        <f t="shared" si="4"/>
        <v>155.01066098081023</v>
      </c>
      <c r="F30" s="38">
        <f t="shared" si="4"/>
        <v>154.98845857912283</v>
      </c>
      <c r="G30" s="38">
        <f t="shared" si="4"/>
        <v>154.987012987013</v>
      </c>
      <c r="H30" s="39">
        <f t="shared" si="4"/>
        <v>154.97223624432104</v>
      </c>
      <c r="I30" s="37">
        <f t="shared" si="4"/>
        <v>154.98423478049966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154.97835497835496</v>
      </c>
      <c r="R30" s="38">
        <f t="shared" si="4"/>
        <v>154.98056365403306</v>
      </c>
      <c r="S30" s="38">
        <f t="shared" si="4"/>
        <v>154.98120300751881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154.97470489038787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2.7579999999261418E-2</v>
      </c>
      <c r="D31" s="42">
        <f t="shared" si="5"/>
        <v>-2.7000000006864866E-3</v>
      </c>
      <c r="E31" s="42">
        <f t="shared" si="5"/>
        <v>-2.8760000000175978E-2</v>
      </c>
      <c r="F31" s="42">
        <f t="shared" si="5"/>
        <v>-3.2980000000634391E-2</v>
      </c>
      <c r="G31" s="42">
        <f t="shared" si="5"/>
        <v>-2.7000000000725777E-2</v>
      </c>
      <c r="H31" s="42">
        <f t="shared" si="5"/>
        <v>3.0759999999190768E-2</v>
      </c>
      <c r="I31" s="42">
        <f t="shared" si="5"/>
        <v>-1.7460000000824039E-2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6.8399999993289384E-3</v>
      </c>
      <c r="R31" s="42">
        <f t="shared" si="5"/>
        <v>-2.3200000008500865E-3</v>
      </c>
      <c r="S31" s="42">
        <f t="shared" si="5"/>
        <v>-1.2800000001789158E-3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2.1979999999189204E-2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-7.1247739600437399E-3</v>
      </c>
      <c r="D32" s="42">
        <f t="shared" si="5"/>
        <v>6.9498069515816496E-4</v>
      </c>
      <c r="E32" s="42">
        <f t="shared" si="5"/>
        <v>3.066098081040991E-2</v>
      </c>
      <c r="F32" s="42">
        <f t="shared" si="5"/>
        <v>8.4585791230153973E-3</v>
      </c>
      <c r="G32" s="42">
        <f t="shared" si="5"/>
        <v>7.0129870131836469E-3</v>
      </c>
      <c r="H32" s="42">
        <f t="shared" si="5"/>
        <v>-7.7637556787806261E-3</v>
      </c>
      <c r="I32" s="42">
        <f t="shared" si="5"/>
        <v>4.2347804998428273E-3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-1.6450216448617994E-3</v>
      </c>
      <c r="R32" s="42">
        <f t="shared" si="5"/>
        <v>5.6365403324321051E-4</v>
      </c>
      <c r="S32" s="42">
        <f t="shared" si="5"/>
        <v>1.2030075189954914E-3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-5.2951096119500107E-3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5" t="s">
        <v>8</v>
      </c>
      <c r="P36" s="1036"/>
      <c r="Q36" s="1036"/>
      <c r="R36" s="1036"/>
      <c r="S36" s="1036"/>
      <c r="T36" s="1036"/>
      <c r="U36" s="1036"/>
      <c r="V36" s="1033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540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626">
        <v>6.4</v>
      </c>
      <c r="P39" s="627">
        <v>6.4</v>
      </c>
      <c r="Q39" s="627">
        <v>1.2</v>
      </c>
      <c r="R39" s="627">
        <v>6.7</v>
      </c>
      <c r="S39" s="627">
        <v>6.5</v>
      </c>
      <c r="T39" s="627">
        <v>6.7</v>
      </c>
      <c r="U39" s="628"/>
      <c r="V39" s="641">
        <f>SUM(O39:U39)</f>
        <v>33.9</v>
      </c>
      <c r="W39" s="49"/>
      <c r="X39" s="48"/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539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601"/>
      <c r="V40" s="538">
        <f t="shared" ref="V40:V45" si="7">SUM(O40:U40)</f>
        <v>33.9</v>
      </c>
      <c r="W40" s="49"/>
      <c r="X40" s="48"/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539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0">
        <v>6.3</v>
      </c>
      <c r="U41" s="601">
        <v>2.6</v>
      </c>
      <c r="V41" s="538">
        <f t="shared" si="7"/>
        <v>33.799999999999997</v>
      </c>
      <c r="W41" s="49"/>
      <c r="X41" s="48"/>
      <c r="Y41" s="14"/>
      <c r="Z41" s="243"/>
    </row>
    <row r="42" spans="1:26" ht="33.75" customHeight="1" x14ac:dyDescent="0.25">
      <c r="A42" s="146" t="s">
        <v>28</v>
      </c>
      <c r="B42" s="599">
        <v>81.8</v>
      </c>
      <c r="C42" s="600">
        <v>82.9</v>
      </c>
      <c r="D42" s="600">
        <v>7.6</v>
      </c>
      <c r="E42" s="600">
        <v>86.2</v>
      </c>
      <c r="F42" s="600">
        <v>85.9</v>
      </c>
      <c r="G42" s="601">
        <v>86.5</v>
      </c>
      <c r="H42" s="539">
        <f t="shared" si="6"/>
        <v>430.9</v>
      </c>
      <c r="I42" s="49"/>
      <c r="J42" s="2"/>
      <c r="K42" s="2"/>
      <c r="L42" s="2"/>
      <c r="M42" s="2"/>
      <c r="N42" s="146" t="s">
        <v>28</v>
      </c>
      <c r="O42" s="485">
        <v>5.8</v>
      </c>
      <c r="P42" s="486">
        <v>5.8</v>
      </c>
      <c r="Q42" s="486">
        <v>0.7</v>
      </c>
      <c r="R42" s="486">
        <v>6.3</v>
      </c>
      <c r="S42" s="486">
        <v>6.3</v>
      </c>
      <c r="T42" s="486">
        <v>6.3</v>
      </c>
      <c r="U42" s="499">
        <v>2.6</v>
      </c>
      <c r="V42" s="538">
        <f t="shared" si="7"/>
        <v>33.799999999999997</v>
      </c>
      <c r="W42" s="49"/>
      <c r="X42" s="48"/>
      <c r="Y42" s="14"/>
      <c r="Z42" s="243"/>
    </row>
    <row r="43" spans="1:26" ht="33.75" customHeight="1" x14ac:dyDescent="0.25">
      <c r="A43" s="146" t="s">
        <v>21</v>
      </c>
      <c r="B43" s="281">
        <v>81.5</v>
      </c>
      <c r="C43" s="282">
        <v>82.9</v>
      </c>
      <c r="D43" s="282">
        <v>7.5</v>
      </c>
      <c r="E43" s="282">
        <v>86.1</v>
      </c>
      <c r="F43" s="282">
        <v>85.5</v>
      </c>
      <c r="G43" s="284">
        <v>86.5</v>
      </c>
      <c r="H43" s="539">
        <f t="shared" si="6"/>
        <v>430</v>
      </c>
      <c r="I43" s="49"/>
      <c r="J43" s="222"/>
      <c r="K43" s="222"/>
      <c r="L43" s="222"/>
      <c r="M43" s="2"/>
      <c r="N43" s="146" t="s">
        <v>21</v>
      </c>
      <c r="O43" s="485">
        <v>5.8</v>
      </c>
      <c r="P43" s="486">
        <v>5.8</v>
      </c>
      <c r="Q43" s="486">
        <v>0.7</v>
      </c>
      <c r="R43" s="486">
        <v>6.3</v>
      </c>
      <c r="S43" s="486">
        <v>6.3</v>
      </c>
      <c r="T43" s="486">
        <v>6.3</v>
      </c>
      <c r="U43" s="499">
        <v>2.6</v>
      </c>
      <c r="V43" s="538">
        <f t="shared" si="7"/>
        <v>33.799999999999997</v>
      </c>
      <c r="W43" s="49"/>
      <c r="X43" s="48"/>
      <c r="Y43" s="14"/>
      <c r="Z43" s="243"/>
    </row>
    <row r="44" spans="1:26" ht="33.75" customHeight="1" x14ac:dyDescent="0.25">
      <c r="A44" s="146" t="s">
        <v>22</v>
      </c>
      <c r="B44" s="281">
        <v>81.5</v>
      </c>
      <c r="C44" s="282">
        <v>82.9</v>
      </c>
      <c r="D44" s="282">
        <v>7.5</v>
      </c>
      <c r="E44" s="282">
        <v>86.1</v>
      </c>
      <c r="F44" s="282">
        <v>85.5</v>
      </c>
      <c r="G44" s="284">
        <v>86.5</v>
      </c>
      <c r="H44" s="539">
        <f t="shared" si="6"/>
        <v>430</v>
      </c>
      <c r="I44" s="49"/>
      <c r="J44" s="43"/>
      <c r="K44" s="43"/>
      <c r="L44" s="43"/>
      <c r="M44" s="2"/>
      <c r="N44" s="146" t="s">
        <v>22</v>
      </c>
      <c r="O44" s="485">
        <v>5.8</v>
      </c>
      <c r="P44" s="486">
        <v>5.8</v>
      </c>
      <c r="Q44" s="486">
        <v>0.7</v>
      </c>
      <c r="R44" s="486">
        <v>6.3</v>
      </c>
      <c r="S44" s="486">
        <v>6.3</v>
      </c>
      <c r="T44" s="486">
        <v>6.3</v>
      </c>
      <c r="U44" s="499">
        <v>2.6</v>
      </c>
      <c r="V44" s="538">
        <f t="shared" si="7"/>
        <v>33.799999999999997</v>
      </c>
      <c r="W44" s="49"/>
      <c r="X44" s="48"/>
      <c r="Y44" s="14"/>
      <c r="Z44" s="243"/>
    </row>
    <row r="45" spans="1:26" ht="33.75" customHeight="1" thickBot="1" x14ac:dyDescent="0.3">
      <c r="A45" s="146" t="s">
        <v>23</v>
      </c>
      <c r="B45" s="281">
        <v>81.599999999999994</v>
      </c>
      <c r="C45" s="282">
        <v>82.8</v>
      </c>
      <c r="D45" s="282">
        <v>7.5</v>
      </c>
      <c r="E45" s="282">
        <v>86.1</v>
      </c>
      <c r="F45" s="282">
        <v>85.5</v>
      </c>
      <c r="G45" s="284">
        <v>86.6</v>
      </c>
      <c r="H45" s="562">
        <f t="shared" si="6"/>
        <v>430.1</v>
      </c>
      <c r="I45" s="559"/>
      <c r="J45" s="41"/>
      <c r="K45" s="41"/>
      <c r="L45" s="41"/>
      <c r="M45" s="2"/>
      <c r="N45" s="146" t="s">
        <v>23</v>
      </c>
      <c r="O45" s="623">
        <v>5.8</v>
      </c>
      <c r="P45" s="624">
        <v>5.8</v>
      </c>
      <c r="Q45" s="624">
        <v>0.7</v>
      </c>
      <c r="R45" s="624">
        <v>6.3</v>
      </c>
      <c r="S45" s="624">
        <v>6.3</v>
      </c>
      <c r="T45" s="624">
        <v>6.3</v>
      </c>
      <c r="U45" s="625">
        <v>2.6</v>
      </c>
      <c r="V45" s="538">
        <f t="shared" si="7"/>
        <v>33.799999999999997</v>
      </c>
      <c r="W45" s="49"/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8">SUM(B39:B45)</f>
        <v>572.20000000000005</v>
      </c>
      <c r="C46" s="611">
        <f t="shared" si="8"/>
        <v>554.99999999999989</v>
      </c>
      <c r="D46" s="611">
        <f>SUM(D39:D45)</f>
        <v>85.1</v>
      </c>
      <c r="E46" s="611">
        <f t="shared" si="8"/>
        <v>604.5</v>
      </c>
      <c r="F46" s="611">
        <f t="shared" si="8"/>
        <v>600.20000000000005</v>
      </c>
      <c r="G46" s="612">
        <f t="shared" si="8"/>
        <v>605.6</v>
      </c>
      <c r="H46" s="560">
        <f t="shared" si="6"/>
        <v>3022.6</v>
      </c>
      <c r="I46" s="559"/>
      <c r="J46" s="42"/>
      <c r="K46" s="42"/>
      <c r="L46" s="42"/>
      <c r="N46" s="145" t="s">
        <v>9</v>
      </c>
      <c r="O46" s="225">
        <f t="shared" ref="O46:U46" si="9">SUM(O39:O45)</f>
        <v>41.8</v>
      </c>
      <c r="P46" s="201">
        <f t="shared" si="9"/>
        <v>41.8</v>
      </c>
      <c r="Q46" s="201">
        <f t="shared" si="9"/>
        <v>5.9</v>
      </c>
      <c r="R46" s="201">
        <f t="shared" si="9"/>
        <v>44.899999999999991</v>
      </c>
      <c r="S46" s="201">
        <f t="shared" si="9"/>
        <v>44.5</v>
      </c>
      <c r="T46" s="201">
        <f t="shared" si="9"/>
        <v>44.899999999999991</v>
      </c>
      <c r="U46" s="273">
        <f t="shared" si="9"/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153.93939393939397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531</v>
      </c>
      <c r="C48" s="27">
        <v>515</v>
      </c>
      <c r="D48" s="27">
        <v>79</v>
      </c>
      <c r="E48" s="27">
        <v>561</v>
      </c>
      <c r="F48" s="27">
        <v>557</v>
      </c>
      <c r="G48" s="28">
        <v>562</v>
      </c>
      <c r="H48" s="129">
        <f>SUM(B48:G48)</f>
        <v>2805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>(((((B47*7)*B48)/1000)/7))</f>
        <v>81.742139999999964</v>
      </c>
      <c r="C49" s="31">
        <f t="shared" ref="C49:G49" si="10">(((((C47*7)*C48)/1000)/7))</f>
        <v>79.279099999999957</v>
      </c>
      <c r="D49" s="31">
        <f t="shared" si="10"/>
        <v>12.161259999999995</v>
      </c>
      <c r="E49" s="31">
        <f t="shared" si="10"/>
        <v>86.360339999999951</v>
      </c>
      <c r="F49" s="31">
        <f t="shared" si="10"/>
        <v>85.744579999999956</v>
      </c>
      <c r="G49" s="32">
        <f t="shared" si="10"/>
        <v>86.514279999999971</v>
      </c>
      <c r="H49" s="130">
        <f>((H46*1000)/H48)/7</f>
        <v>153.93939393939394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U49" si="11">((((P47*7)*P48)/1000)/7)</f>
        <v>5.7379999999999995</v>
      </c>
      <c r="Q49" s="31">
        <f t="shared" si="11"/>
        <v>0.77749999999999997</v>
      </c>
      <c r="R49" s="31">
        <f t="shared" si="11"/>
        <v>6.3140000000000001</v>
      </c>
      <c r="S49" s="31">
        <f t="shared" si="11"/>
        <v>6.3140000000000001</v>
      </c>
      <c r="T49" s="31">
        <f t="shared" si="11"/>
        <v>6.3755000000000006</v>
      </c>
      <c r="U49" s="32">
        <f t="shared" si="11"/>
        <v>2.6435</v>
      </c>
      <c r="V49" s="454">
        <f>((V46*1000)/V48)/7</f>
        <v>153.07045895281186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572.19497999999976</v>
      </c>
      <c r="C50" s="282">
        <f t="shared" ref="C50:G50" si="12">((C48*C47)*7)/1000</f>
        <v>554.9536999999998</v>
      </c>
      <c r="D50" s="282">
        <f t="shared" si="12"/>
        <v>85.128819999999962</v>
      </c>
      <c r="E50" s="282">
        <f t="shared" si="12"/>
        <v>604.52237999999977</v>
      </c>
      <c r="F50" s="282">
        <f t="shared" si="12"/>
        <v>600.21205999999984</v>
      </c>
      <c r="G50" s="284">
        <f t="shared" si="12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U50" si="13">((O48*O47)*7)/1000</f>
        <v>40.165999999999997</v>
      </c>
      <c r="P50" s="282">
        <f t="shared" si="13"/>
        <v>40.165999999999997</v>
      </c>
      <c r="Q50" s="282">
        <f t="shared" si="13"/>
        <v>5.4424999999999999</v>
      </c>
      <c r="R50" s="282">
        <f t="shared" si="13"/>
        <v>44.198</v>
      </c>
      <c r="S50" s="282">
        <f t="shared" si="13"/>
        <v>44.198</v>
      </c>
      <c r="T50" s="282">
        <f t="shared" si="13"/>
        <v>44.628500000000003</v>
      </c>
      <c r="U50" s="284">
        <f t="shared" si="13"/>
        <v>18.5045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4">+(B46/B48)/7*1000</f>
        <v>153.94135055152006</v>
      </c>
      <c r="C51" s="38">
        <f t="shared" si="14"/>
        <v>153.95284327323159</v>
      </c>
      <c r="D51" s="38">
        <f t="shared" si="14"/>
        <v>153.88788426763108</v>
      </c>
      <c r="E51" s="38">
        <f t="shared" si="14"/>
        <v>153.93430099312451</v>
      </c>
      <c r="F51" s="38">
        <f t="shared" si="14"/>
        <v>153.93690689920496</v>
      </c>
      <c r="G51" s="39">
        <f t="shared" si="14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5">+(O46/O48)/7*1000</f>
        <v>157.14285714285711</v>
      </c>
      <c r="P51" s="38">
        <f t="shared" si="15"/>
        <v>157.14285714285711</v>
      </c>
      <c r="Q51" s="38">
        <f t="shared" si="15"/>
        <v>168.57142857142858</v>
      </c>
      <c r="R51" s="38">
        <f t="shared" si="15"/>
        <v>156.44599303135885</v>
      </c>
      <c r="S51" s="38">
        <f t="shared" si="15"/>
        <v>155.05226480836237</v>
      </c>
      <c r="T51" s="38">
        <f t="shared" si="15"/>
        <v>156.44599303135885</v>
      </c>
      <c r="U51" s="39">
        <f t="shared" si="15"/>
        <v>109.24369747899158</v>
      </c>
      <c r="V51" s="324"/>
      <c r="W51" s="42"/>
      <c r="Y51" s="14"/>
      <c r="Z51" s="243"/>
    </row>
    <row r="52" spans="1:27" ht="33.75" customHeight="1" x14ac:dyDescent="0.25">
      <c r="A52" s="41"/>
      <c r="B52" s="42">
        <f>B50-B46</f>
        <v>-5.0200000002860179E-3</v>
      </c>
      <c r="C52" s="42">
        <f t="shared" ref="C52:G53" si="16">C50-C46</f>
        <v>-4.6300000000087493E-2</v>
      </c>
      <c r="D52" s="42">
        <f t="shared" si="16"/>
        <v>2.8819999999967649E-2</v>
      </c>
      <c r="E52" s="42">
        <f t="shared" si="16"/>
        <v>2.2379999999770916E-2</v>
      </c>
      <c r="F52" s="42">
        <f t="shared" si="16"/>
        <v>1.2059999999792126E-2</v>
      </c>
      <c r="G52" s="42">
        <f t="shared" si="16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U53" si="17">O50-O46</f>
        <v>-1.6340000000000003</v>
      </c>
      <c r="P52" s="42">
        <f t="shared" si="17"/>
        <v>-1.6340000000000003</v>
      </c>
      <c r="Q52" s="42">
        <f t="shared" si="17"/>
        <v>-0.45750000000000046</v>
      </c>
      <c r="R52" s="42">
        <f t="shared" si="17"/>
        <v>-0.70199999999999108</v>
      </c>
      <c r="S52" s="42">
        <f t="shared" si="17"/>
        <v>-0.3019999999999996</v>
      </c>
      <c r="T52" s="42">
        <f t="shared" si="17"/>
        <v>-0.27149999999998897</v>
      </c>
      <c r="U52" s="42">
        <f t="shared" si="17"/>
        <v>5.5045000000000002</v>
      </c>
    </row>
    <row r="53" spans="1:27" ht="33.75" customHeight="1" x14ac:dyDescent="0.25">
      <c r="A53" s="41"/>
      <c r="B53" s="42">
        <f>B51-B47</f>
        <v>1.35055152011887E-3</v>
      </c>
      <c r="C53" s="42">
        <f t="shared" si="16"/>
        <v>1.2843273231652574E-2</v>
      </c>
      <c r="D53" s="42">
        <f t="shared" si="16"/>
        <v>-5.2115732368861245E-2</v>
      </c>
      <c r="E53" s="42">
        <f t="shared" si="16"/>
        <v>-5.6990068754316781E-3</v>
      </c>
      <c r="F53" s="42">
        <f t="shared" si="16"/>
        <v>-3.0931007949845934E-3</v>
      </c>
      <c r="G53" s="42">
        <f t="shared" si="16"/>
        <v>1.0167768238034114E-5</v>
      </c>
      <c r="I53" s="2"/>
      <c r="J53" s="2"/>
      <c r="K53" s="45"/>
      <c r="L53" s="41"/>
      <c r="M53" s="42"/>
      <c r="N53" s="42"/>
      <c r="O53" s="42">
        <f t="shared" si="17"/>
        <v>6.1428571428571104</v>
      </c>
      <c r="P53" s="42">
        <f t="shared" si="17"/>
        <v>6.1428571428571104</v>
      </c>
      <c r="Q53" s="42">
        <f t="shared" si="17"/>
        <v>13.071428571428584</v>
      </c>
      <c r="R53" s="42">
        <f t="shared" si="17"/>
        <v>2.4459930313588529</v>
      </c>
      <c r="S53" s="42">
        <f t="shared" si="17"/>
        <v>1.0522648083623665</v>
      </c>
      <c r="T53" s="42">
        <f t="shared" si="17"/>
        <v>0.94599303135885293</v>
      </c>
      <c r="U53" s="42">
        <f t="shared" si="17"/>
        <v>-46.256302521008422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5"/>
      <c r="P57" s="620" t="s">
        <v>126</v>
      </c>
      <c r="Q57" s="1051" t="s">
        <v>8</v>
      </c>
      <c r="R57" s="1052"/>
      <c r="S57" s="1052"/>
      <c r="T57" s="1052"/>
      <c r="U57" s="1052"/>
      <c r="V57" s="1052"/>
      <c r="W57" s="1053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/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36">
        <v>6.6</v>
      </c>
      <c r="Q60" s="633">
        <v>8.3000000000000007</v>
      </c>
      <c r="R60" s="621">
        <v>8.4</v>
      </c>
      <c r="S60" s="621">
        <v>8.1999999999999993</v>
      </c>
      <c r="T60" s="621">
        <v>2</v>
      </c>
      <c r="U60" s="621">
        <v>7.7</v>
      </c>
      <c r="V60" s="621">
        <v>7.7</v>
      </c>
      <c r="W60" s="622">
        <v>7.6</v>
      </c>
      <c r="X60" s="636"/>
      <c r="Y60" s="587">
        <f t="shared" ref="Y60:Y66" si="18">SUM(B60:X60)</f>
        <v>143.29999999999998</v>
      </c>
      <c r="Z60" s="243"/>
      <c r="AA60" s="616"/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37">
        <v>6.6</v>
      </c>
      <c r="Q61" s="634">
        <v>8.3000000000000007</v>
      </c>
      <c r="R61" s="604">
        <v>8.4</v>
      </c>
      <c r="S61" s="604">
        <v>8.1999999999999993</v>
      </c>
      <c r="T61" s="604">
        <v>2</v>
      </c>
      <c r="U61" s="604">
        <v>7.7</v>
      </c>
      <c r="V61" s="604">
        <v>7.7</v>
      </c>
      <c r="W61" s="605">
        <v>7.6</v>
      </c>
      <c r="X61" s="637"/>
      <c r="Y61" s="587">
        <f t="shared" si="18"/>
        <v>143.29999999999998</v>
      </c>
      <c r="Z61" s="243"/>
      <c r="AA61" s="616"/>
    </row>
    <row r="62" spans="1:27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37">
        <v>7.2</v>
      </c>
      <c r="Q62" s="634">
        <v>7</v>
      </c>
      <c r="R62" s="604">
        <v>7.1</v>
      </c>
      <c r="S62" s="604">
        <v>6.9</v>
      </c>
      <c r="T62" s="604">
        <v>1.7</v>
      </c>
      <c r="U62" s="604">
        <v>7.1</v>
      </c>
      <c r="V62" s="604">
        <v>7.1</v>
      </c>
      <c r="W62" s="605">
        <v>7.2</v>
      </c>
      <c r="X62" s="637">
        <v>4.7</v>
      </c>
      <c r="Y62" s="587">
        <f t="shared" si="18"/>
        <v>142.79999999999998</v>
      </c>
      <c r="Z62" s="243"/>
      <c r="AA62" s="616"/>
    </row>
    <row r="63" spans="1:27" ht="33.75" customHeight="1" x14ac:dyDescent="0.25">
      <c r="A63" s="146" t="s">
        <v>28</v>
      </c>
      <c r="B63" s="599">
        <v>6.9</v>
      </c>
      <c r="C63" s="600">
        <v>6.9</v>
      </c>
      <c r="D63" s="600">
        <v>6.7</v>
      </c>
      <c r="E63" s="600">
        <v>1.7</v>
      </c>
      <c r="F63" s="600">
        <v>6.9</v>
      </c>
      <c r="G63" s="600">
        <v>6.8</v>
      </c>
      <c r="H63" s="603">
        <v>6.8</v>
      </c>
      <c r="I63" s="599">
        <v>6.9</v>
      </c>
      <c r="J63" s="604">
        <v>6.9</v>
      </c>
      <c r="K63" s="600">
        <v>7.1</v>
      </c>
      <c r="L63" s="604">
        <v>1.7</v>
      </c>
      <c r="M63" s="604">
        <v>6.9</v>
      </c>
      <c r="N63" s="600">
        <v>7</v>
      </c>
      <c r="O63" s="605">
        <v>6.8</v>
      </c>
      <c r="P63" s="637">
        <v>8.1</v>
      </c>
      <c r="Q63" s="634">
        <v>7</v>
      </c>
      <c r="R63" s="604">
        <v>7.1</v>
      </c>
      <c r="S63" s="604">
        <v>6.9</v>
      </c>
      <c r="T63" s="604">
        <v>1.7</v>
      </c>
      <c r="U63" s="604">
        <v>7.1</v>
      </c>
      <c r="V63" s="604">
        <v>7.1</v>
      </c>
      <c r="W63" s="605">
        <v>7.2</v>
      </c>
      <c r="X63" s="637">
        <v>4.7</v>
      </c>
      <c r="Y63" s="587">
        <f t="shared" si="18"/>
        <v>142.89999999999998</v>
      </c>
      <c r="Z63" s="642"/>
      <c r="AA63" s="616"/>
    </row>
    <row r="64" spans="1:27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638">
        <v>8.1</v>
      </c>
      <c r="Q64" s="608">
        <v>7</v>
      </c>
      <c r="R64" s="561">
        <v>7.1</v>
      </c>
      <c r="S64" s="561">
        <v>6.9</v>
      </c>
      <c r="T64" s="561">
        <v>1.7</v>
      </c>
      <c r="U64" s="561">
        <v>7.1</v>
      </c>
      <c r="V64" s="561">
        <v>7.1</v>
      </c>
      <c r="W64" s="474">
        <v>7.2</v>
      </c>
      <c r="X64" s="638">
        <v>4.7</v>
      </c>
      <c r="Y64" s="587">
        <f t="shared" si="18"/>
        <v>143.39999999999998</v>
      </c>
      <c r="Z64" s="243"/>
      <c r="AA64" s="616"/>
    </row>
    <row r="65" spans="1:27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638">
        <v>8.1</v>
      </c>
      <c r="Q65" s="608">
        <v>7</v>
      </c>
      <c r="R65" s="561">
        <v>7.1</v>
      </c>
      <c r="S65" s="561">
        <v>6.9</v>
      </c>
      <c r="T65" s="561">
        <v>1.7</v>
      </c>
      <c r="U65" s="561">
        <v>7.1</v>
      </c>
      <c r="V65" s="561">
        <v>7.1</v>
      </c>
      <c r="W65" s="474">
        <v>7.2</v>
      </c>
      <c r="X65" s="638">
        <v>4.7</v>
      </c>
      <c r="Y65" s="587">
        <f t="shared" si="18"/>
        <v>143.99999999999997</v>
      </c>
      <c r="Z65" s="243"/>
      <c r="AA65" s="616"/>
    </row>
    <row r="66" spans="1:27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638">
        <v>8.1999999999999993</v>
      </c>
      <c r="Q66" s="608">
        <v>7</v>
      </c>
      <c r="R66" s="561">
        <v>7.1</v>
      </c>
      <c r="S66" s="561">
        <v>6.9</v>
      </c>
      <c r="T66" s="561">
        <v>1.7</v>
      </c>
      <c r="U66" s="561">
        <v>7.1</v>
      </c>
      <c r="V66" s="561">
        <v>7.1</v>
      </c>
      <c r="W66" s="474">
        <v>7.2</v>
      </c>
      <c r="X66" s="638">
        <v>4.7</v>
      </c>
      <c r="Y66" s="587">
        <f t="shared" si="18"/>
        <v>144.39999999999998</v>
      </c>
      <c r="Z66" s="243"/>
      <c r="AA66" s="616"/>
    </row>
    <row r="67" spans="1:27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X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268">
        <f t="shared" si="19"/>
        <v>48.2</v>
      </c>
      <c r="P67" s="639">
        <f t="shared" ref="P67" si="20">SUM(P60:P66)</f>
        <v>52.900000000000006</v>
      </c>
      <c r="Q67" s="119">
        <f t="shared" si="19"/>
        <v>51.6</v>
      </c>
      <c r="R67" s="120">
        <f t="shared" si="19"/>
        <v>52.300000000000004</v>
      </c>
      <c r="S67" s="120">
        <f t="shared" si="19"/>
        <v>50.899999999999991</v>
      </c>
      <c r="T67" s="120">
        <f t="shared" si="19"/>
        <v>12.499999999999998</v>
      </c>
      <c r="U67" s="120">
        <f t="shared" si="19"/>
        <v>50.900000000000006</v>
      </c>
      <c r="V67" s="120">
        <f t="shared" si="19"/>
        <v>50.900000000000006</v>
      </c>
      <c r="W67" s="268">
        <f t="shared" si="19"/>
        <v>51.2</v>
      </c>
      <c r="X67" s="639">
        <f t="shared" si="19"/>
        <v>23.5</v>
      </c>
      <c r="Y67" s="326">
        <f>SUM(Y60:Y66)</f>
        <v>1004.0999999999999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157.45648424023832</v>
      </c>
      <c r="Z68" s="243"/>
    </row>
    <row r="69" spans="1:27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32</v>
      </c>
      <c r="Q69" s="64">
        <v>44</v>
      </c>
      <c r="R69" s="27">
        <v>45</v>
      </c>
      <c r="S69" s="27">
        <v>44</v>
      </c>
      <c r="T69" s="27">
        <v>11</v>
      </c>
      <c r="U69" s="27">
        <v>45</v>
      </c>
      <c r="V69" s="27">
        <v>45</v>
      </c>
      <c r="W69" s="156">
        <v>46</v>
      </c>
      <c r="X69" s="640">
        <v>48</v>
      </c>
      <c r="Y69" s="328">
        <f>SUM(B69:X69)</f>
        <v>911</v>
      </c>
      <c r="Z69" s="243"/>
    </row>
    <row r="70" spans="1:27" ht="33.75" customHeight="1" x14ac:dyDescent="0.25">
      <c r="A70" s="150" t="s">
        <v>13</v>
      </c>
      <c r="B70" s="30">
        <f>((((B68*7)*B69)/1000)/7)</f>
        <v>6.952</v>
      </c>
      <c r="C70" s="31">
        <f t="shared" ref="C70:X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142">
        <f t="shared" si="21"/>
        <v>6.8860000000000001</v>
      </c>
      <c r="P70" s="356">
        <f t="shared" ref="P70" si="22">((((P68*7)*P69)/1000)/7)</f>
        <v>5.04</v>
      </c>
      <c r="Q70" s="65">
        <f t="shared" si="21"/>
        <v>7.0619999999999994</v>
      </c>
      <c r="R70" s="31">
        <f t="shared" si="21"/>
        <v>7.2224999999999993</v>
      </c>
      <c r="S70" s="31">
        <f t="shared" si="21"/>
        <v>6.93</v>
      </c>
      <c r="T70" s="31">
        <f t="shared" si="21"/>
        <v>1.7324999999999999</v>
      </c>
      <c r="U70" s="31">
        <f t="shared" si="21"/>
        <v>7.0874999999999995</v>
      </c>
      <c r="V70" s="31">
        <f t="shared" si="21"/>
        <v>7.0200000000000005</v>
      </c>
      <c r="W70" s="142">
        <f t="shared" si="21"/>
        <v>7.1760000000000002</v>
      </c>
      <c r="X70" s="356">
        <f t="shared" si="21"/>
        <v>7.5600000000000005</v>
      </c>
      <c r="Y70" s="329">
        <f>((Y67*1000)/7)/Y69</f>
        <v>157.45648424023835</v>
      </c>
      <c r="Z70" s="243"/>
    </row>
    <row r="71" spans="1:27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X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3">
        <f t="shared" si="23"/>
        <v>48.201999999999998</v>
      </c>
      <c r="P71" s="619">
        <f t="shared" ref="P71" si="24">((P69*P68)*7)/1000</f>
        <v>35.28</v>
      </c>
      <c r="Q71" s="285">
        <f t="shared" si="23"/>
        <v>49.433999999999997</v>
      </c>
      <c r="R71" s="282">
        <f t="shared" si="23"/>
        <v>50.557499999999997</v>
      </c>
      <c r="S71" s="282">
        <f t="shared" si="23"/>
        <v>48.51</v>
      </c>
      <c r="T71" s="282">
        <f t="shared" si="23"/>
        <v>12.1275</v>
      </c>
      <c r="U71" s="282">
        <f t="shared" si="23"/>
        <v>49.612499999999997</v>
      </c>
      <c r="V71" s="282">
        <f t="shared" si="23"/>
        <v>49.14</v>
      </c>
      <c r="W71" s="283">
        <f t="shared" si="23"/>
        <v>50.231999999999999</v>
      </c>
      <c r="X71" s="619">
        <f t="shared" si="23"/>
        <v>52.92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X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158">
        <f t="shared" si="25"/>
        <v>156.49350649350649</v>
      </c>
      <c r="P72" s="255">
        <f t="shared" ref="P72" si="26">+(P67/P69)/7*1000</f>
        <v>236.16071428571431</v>
      </c>
      <c r="Q72" s="67">
        <f t="shared" si="25"/>
        <v>167.53246753246756</v>
      </c>
      <c r="R72" s="38">
        <f t="shared" si="25"/>
        <v>166.03174603174602</v>
      </c>
      <c r="S72" s="38">
        <f t="shared" si="25"/>
        <v>165.25974025974023</v>
      </c>
      <c r="T72" s="38">
        <f t="shared" si="25"/>
        <v>162.33766233766229</v>
      </c>
      <c r="U72" s="38">
        <f t="shared" si="25"/>
        <v>161.5873015873016</v>
      </c>
      <c r="V72" s="38">
        <f t="shared" si="25"/>
        <v>161.5873015873016</v>
      </c>
      <c r="W72" s="158">
        <f t="shared" si="25"/>
        <v>159.00621118012424</v>
      </c>
      <c r="X72" s="255">
        <f t="shared" si="25"/>
        <v>69.94047619047619</v>
      </c>
      <c r="Y72" s="237"/>
      <c r="Z72" s="243"/>
    </row>
    <row r="73" spans="1:27" ht="33.75" customHeight="1" x14ac:dyDescent="0.25">
      <c r="A73" s="41"/>
      <c r="B73" s="42">
        <f>B71-B67</f>
        <v>-3.5999999999994259E-2</v>
      </c>
      <c r="C73" s="42">
        <f t="shared" ref="C73:X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ref="P73" si="28">P71-P67</f>
        <v>-17.620000000000005</v>
      </c>
      <c r="Q73" s="42">
        <f t="shared" si="27"/>
        <v>-2.1660000000000039</v>
      </c>
      <c r="R73" s="42">
        <f t="shared" si="27"/>
        <v>-1.7425000000000068</v>
      </c>
      <c r="S73" s="42">
        <f t="shared" si="27"/>
        <v>-2.3899999999999935</v>
      </c>
      <c r="T73" s="42">
        <f t="shared" si="27"/>
        <v>-0.37249999999999872</v>
      </c>
      <c r="U73" s="42">
        <f t="shared" si="27"/>
        <v>-1.2875000000000085</v>
      </c>
      <c r="V73" s="42">
        <f t="shared" si="27"/>
        <v>-1.7600000000000051</v>
      </c>
      <c r="W73" s="42">
        <f t="shared" si="27"/>
        <v>-0.96800000000000352</v>
      </c>
      <c r="X73" s="42">
        <f t="shared" si="27"/>
        <v>29.42</v>
      </c>
      <c r="Y73" s="14"/>
      <c r="Z73" s="243"/>
    </row>
    <row r="74" spans="1:27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ref="P74" si="29">P72-P68</f>
        <v>78.660714285714306</v>
      </c>
      <c r="Q74" s="42">
        <f t="shared" si="27"/>
        <v>7.0324675324675638</v>
      </c>
      <c r="R74" s="42">
        <f>R72-R68</f>
        <v>5.5317460317460245</v>
      </c>
      <c r="S74" s="42">
        <f t="shared" si="27"/>
        <v>7.7597402597402265</v>
      </c>
      <c r="T74" s="42">
        <f t="shared" si="27"/>
        <v>4.8376623376622945</v>
      </c>
      <c r="U74" s="42">
        <f t="shared" si="27"/>
        <v>4.0873015873015959</v>
      </c>
      <c r="V74" s="42">
        <f t="shared" si="27"/>
        <v>5.5873015873015959</v>
      </c>
      <c r="W74" s="42">
        <f t="shared" si="27"/>
        <v>3.0062111801242395</v>
      </c>
      <c r="X74" s="42">
        <f t="shared" si="27"/>
        <v>-87.55952380952381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7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A3:C3"/>
    <mergeCell ref="E9:G9"/>
    <mergeCell ref="T9:U9"/>
    <mergeCell ref="P11:Q11"/>
    <mergeCell ref="B15:H15"/>
    <mergeCell ref="I15:O15"/>
    <mergeCell ref="P15:V15"/>
    <mergeCell ref="Q57:W57"/>
  </mergeCells>
  <pageMargins left="0.7" right="0.7" top="0.75" bottom="0.75" header="0.3" footer="0.3"/>
  <pageSetup paperSize="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1"/>
  <dimension ref="A1:AA237"/>
  <sheetViews>
    <sheetView topLeftCell="A19" zoomScale="25" zoomScaleNormal="25" workbookViewId="0">
      <selection activeCell="P59" sqref="P59:X7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50</v>
      </c>
      <c r="Q11" s="1022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86.9</v>
      </c>
      <c r="C18" s="600">
        <v>85.5</v>
      </c>
      <c r="D18" s="600">
        <v>85.7</v>
      </c>
      <c r="E18" s="600">
        <v>19.8</v>
      </c>
      <c r="F18" s="600">
        <v>86.4</v>
      </c>
      <c r="G18" s="600">
        <v>85</v>
      </c>
      <c r="H18" s="601">
        <v>87.2</v>
      </c>
      <c r="I18" s="602">
        <v>90.6</v>
      </c>
      <c r="J18" s="600">
        <v>90.6</v>
      </c>
      <c r="K18" s="600">
        <v>92.9</v>
      </c>
      <c r="L18" s="600">
        <v>22</v>
      </c>
      <c r="M18" s="600">
        <v>91</v>
      </c>
      <c r="N18" s="600">
        <v>91.5</v>
      </c>
      <c r="O18" s="600">
        <v>92.1</v>
      </c>
      <c r="P18" s="599">
        <v>91.4</v>
      </c>
      <c r="Q18" s="600">
        <v>91.4</v>
      </c>
      <c r="R18" s="600">
        <v>91</v>
      </c>
      <c r="S18" s="600">
        <v>22.6</v>
      </c>
      <c r="T18" s="600">
        <v>91.6</v>
      </c>
      <c r="U18" s="600">
        <v>90.8</v>
      </c>
      <c r="V18" s="601">
        <v>91.6</v>
      </c>
      <c r="W18" s="596">
        <f t="shared" ref="W18:W24" si="0">SUM(B18:V18)</f>
        <v>1677.6</v>
      </c>
    </row>
    <row r="19" spans="1:25" ht="39.950000000000003" customHeight="1" x14ac:dyDescent="0.25">
      <c r="A19" s="146" t="s">
        <v>24</v>
      </c>
      <c r="B19" s="599">
        <v>86.9</v>
      </c>
      <c r="C19" s="600">
        <v>85.5</v>
      </c>
      <c r="D19" s="600">
        <v>85.7</v>
      </c>
      <c r="E19" s="600">
        <v>19.8</v>
      </c>
      <c r="F19" s="600">
        <v>86.4</v>
      </c>
      <c r="G19" s="600">
        <v>85</v>
      </c>
      <c r="H19" s="601">
        <v>87.2</v>
      </c>
      <c r="I19" s="602">
        <v>90.6</v>
      </c>
      <c r="J19" s="600">
        <v>90.6</v>
      </c>
      <c r="K19" s="600">
        <v>92.9</v>
      </c>
      <c r="L19" s="600">
        <v>22</v>
      </c>
      <c r="M19" s="600">
        <v>91</v>
      </c>
      <c r="N19" s="600">
        <v>91.5</v>
      </c>
      <c r="O19" s="600">
        <v>92.1</v>
      </c>
      <c r="P19" s="599">
        <v>91.4</v>
      </c>
      <c r="Q19" s="600">
        <v>91.4</v>
      </c>
      <c r="R19" s="600">
        <v>91</v>
      </c>
      <c r="S19" s="600">
        <v>22.6</v>
      </c>
      <c r="T19" s="600">
        <v>91.6</v>
      </c>
      <c r="U19" s="600">
        <v>90.8</v>
      </c>
      <c r="V19" s="601">
        <v>91.6</v>
      </c>
      <c r="W19" s="538">
        <f>SUM(B19:V19)</f>
        <v>1677.6</v>
      </c>
    </row>
    <row r="20" spans="1:25" ht="39.75" customHeight="1" x14ac:dyDescent="0.25">
      <c r="A20" s="146" t="s">
        <v>20</v>
      </c>
      <c r="B20" s="281">
        <v>86.7</v>
      </c>
      <c r="C20" s="282">
        <v>85.3</v>
      </c>
      <c r="D20" s="282">
        <v>85.7</v>
      </c>
      <c r="E20" s="282">
        <v>21</v>
      </c>
      <c r="F20" s="282">
        <v>85.8</v>
      </c>
      <c r="G20" s="282">
        <v>84.9</v>
      </c>
      <c r="H20" s="284">
        <v>87.2</v>
      </c>
      <c r="I20" s="285">
        <v>90.6</v>
      </c>
      <c r="J20" s="282">
        <v>90.4</v>
      </c>
      <c r="K20" s="282">
        <v>92.8</v>
      </c>
      <c r="L20" s="282">
        <v>21.9</v>
      </c>
      <c r="M20" s="282">
        <v>90.9</v>
      </c>
      <c r="N20" s="282">
        <v>91.4</v>
      </c>
      <c r="O20" s="282">
        <v>92.1</v>
      </c>
      <c r="P20" s="281">
        <v>91.4</v>
      </c>
      <c r="Q20" s="282">
        <v>91.4</v>
      </c>
      <c r="R20" s="282">
        <v>90.7</v>
      </c>
      <c r="S20" s="282">
        <v>22.6</v>
      </c>
      <c r="T20" s="282">
        <v>91.1</v>
      </c>
      <c r="U20" s="282">
        <v>90.8</v>
      </c>
      <c r="V20" s="284">
        <v>91.6</v>
      </c>
      <c r="W20" s="538">
        <f t="shared" si="0"/>
        <v>1676.2999999999997</v>
      </c>
    </row>
    <row r="21" spans="1:25" ht="39.950000000000003" customHeight="1" x14ac:dyDescent="0.25">
      <c r="A21" s="146" t="s">
        <v>28</v>
      </c>
      <c r="B21" s="281">
        <v>86.7</v>
      </c>
      <c r="C21" s="282">
        <v>85.3</v>
      </c>
      <c r="D21" s="282">
        <v>85.7</v>
      </c>
      <c r="E21" s="486">
        <v>20.5</v>
      </c>
      <c r="F21" s="282">
        <v>85.8</v>
      </c>
      <c r="G21" s="282">
        <v>84.9</v>
      </c>
      <c r="H21" s="499">
        <v>87.1</v>
      </c>
      <c r="I21" s="285">
        <v>90.6</v>
      </c>
      <c r="J21" s="282">
        <v>90.4</v>
      </c>
      <c r="K21" s="486">
        <v>92.7</v>
      </c>
      <c r="L21" s="282">
        <v>21.9</v>
      </c>
      <c r="M21" s="282">
        <v>90.9</v>
      </c>
      <c r="N21" s="282">
        <v>91.4</v>
      </c>
      <c r="O21" s="282">
        <v>92.1</v>
      </c>
      <c r="P21" s="281">
        <v>91.4</v>
      </c>
      <c r="Q21" s="486">
        <v>91.3</v>
      </c>
      <c r="R21" s="282">
        <v>90.7</v>
      </c>
      <c r="S21" s="282">
        <v>22.6</v>
      </c>
      <c r="T21" s="282">
        <v>91.1</v>
      </c>
      <c r="U21" s="282">
        <v>90.8</v>
      </c>
      <c r="V21" s="284">
        <v>91.6</v>
      </c>
      <c r="W21" s="538">
        <f t="shared" si="0"/>
        <v>1675.4999999999998</v>
      </c>
    </row>
    <row r="22" spans="1:25" ht="39.950000000000003" customHeight="1" x14ac:dyDescent="0.25">
      <c r="A22" s="146" t="s">
        <v>21</v>
      </c>
      <c r="B22" s="281">
        <v>86.7</v>
      </c>
      <c r="C22" s="486">
        <v>85.2</v>
      </c>
      <c r="D22" s="282">
        <v>85.7</v>
      </c>
      <c r="E22" s="282">
        <v>20.5</v>
      </c>
      <c r="F22" s="282">
        <v>85.8</v>
      </c>
      <c r="G22" s="282">
        <v>84.9</v>
      </c>
      <c r="H22" s="499">
        <v>86.8</v>
      </c>
      <c r="I22" s="285">
        <v>90.6</v>
      </c>
      <c r="J22" s="282">
        <v>90.4</v>
      </c>
      <c r="K22" s="282">
        <v>92.7</v>
      </c>
      <c r="L22" s="282">
        <v>21.9</v>
      </c>
      <c r="M22" s="282">
        <v>90.9</v>
      </c>
      <c r="N22" s="282">
        <v>91.4</v>
      </c>
      <c r="O22" s="282">
        <v>92.1</v>
      </c>
      <c r="P22" s="281">
        <v>91.4</v>
      </c>
      <c r="Q22" s="282">
        <v>91.3</v>
      </c>
      <c r="R22" s="282">
        <v>90.6</v>
      </c>
      <c r="S22" s="486">
        <v>22.5</v>
      </c>
      <c r="T22" s="282">
        <v>91.1</v>
      </c>
      <c r="U22" s="282">
        <v>90.8</v>
      </c>
      <c r="V22" s="284">
        <v>91.6</v>
      </c>
      <c r="W22" s="538">
        <f t="shared" si="0"/>
        <v>1674.8999999999996</v>
      </c>
    </row>
    <row r="23" spans="1:25" ht="39.950000000000003" customHeight="1" x14ac:dyDescent="0.25">
      <c r="A23" s="146" t="s">
        <v>22</v>
      </c>
      <c r="B23" s="133">
        <v>86.4</v>
      </c>
      <c r="C23" s="497">
        <v>83.9</v>
      </c>
      <c r="D23" s="497">
        <v>84.7</v>
      </c>
      <c r="E23" s="497">
        <v>16.8</v>
      </c>
      <c r="F23" s="497">
        <v>86</v>
      </c>
      <c r="G23" s="497">
        <v>85</v>
      </c>
      <c r="H23" s="498">
        <v>86.6</v>
      </c>
      <c r="I23" s="126">
        <v>90.8</v>
      </c>
      <c r="J23" s="497">
        <v>90</v>
      </c>
      <c r="K23" s="497">
        <v>91.9</v>
      </c>
      <c r="L23" s="497">
        <v>21.9</v>
      </c>
      <c r="M23" s="497">
        <v>90.5</v>
      </c>
      <c r="N23" s="497">
        <v>91.4</v>
      </c>
      <c r="O23" s="497">
        <v>92.5</v>
      </c>
      <c r="P23" s="133">
        <v>91</v>
      </c>
      <c r="Q23" s="497">
        <v>91.6</v>
      </c>
      <c r="R23" s="497">
        <v>89.2</v>
      </c>
      <c r="S23" s="497">
        <v>22.5</v>
      </c>
      <c r="T23" s="497">
        <v>91.2</v>
      </c>
      <c r="U23" s="497">
        <v>89.8</v>
      </c>
      <c r="V23" s="498">
        <v>91.6</v>
      </c>
      <c r="W23" s="538">
        <f t="shared" si="0"/>
        <v>1665.2999999999997</v>
      </c>
    </row>
    <row r="24" spans="1:25" ht="39.950000000000003" customHeight="1" thickBot="1" x14ac:dyDescent="0.3">
      <c r="A24" s="146" t="s">
        <v>23</v>
      </c>
      <c r="B24" s="133">
        <v>86.4</v>
      </c>
      <c r="C24" s="497">
        <v>83.9</v>
      </c>
      <c r="D24" s="497">
        <v>84.7</v>
      </c>
      <c r="E24" s="497">
        <v>16.8</v>
      </c>
      <c r="F24" s="497">
        <v>86</v>
      </c>
      <c r="G24" s="497">
        <v>85</v>
      </c>
      <c r="H24" s="498">
        <v>86.5</v>
      </c>
      <c r="I24" s="126">
        <v>90.7</v>
      </c>
      <c r="J24" s="497">
        <v>90</v>
      </c>
      <c r="K24" s="497">
        <v>91.8</v>
      </c>
      <c r="L24" s="497">
        <v>21.9</v>
      </c>
      <c r="M24" s="497">
        <v>90.5</v>
      </c>
      <c r="N24" s="497">
        <v>91.4</v>
      </c>
      <c r="O24" s="497">
        <v>92.5</v>
      </c>
      <c r="P24" s="133">
        <v>91</v>
      </c>
      <c r="Q24" s="497">
        <v>91.6</v>
      </c>
      <c r="R24" s="497">
        <v>89.2</v>
      </c>
      <c r="S24" s="497">
        <v>22.5</v>
      </c>
      <c r="T24" s="497">
        <v>91.2</v>
      </c>
      <c r="U24" s="497">
        <v>89.8</v>
      </c>
      <c r="V24" s="498">
        <v>91.6</v>
      </c>
      <c r="W24" s="538">
        <f t="shared" si="0"/>
        <v>1664.9999999999998</v>
      </c>
    </row>
    <row r="25" spans="1:25" ht="41.45" customHeight="1" x14ac:dyDescent="0.25">
      <c r="A25" s="182" t="s">
        <v>9</v>
      </c>
      <c r="B25" s="122">
        <f>SUM(B18:B24)</f>
        <v>606.69999999999993</v>
      </c>
      <c r="C25" s="120">
        <f>SUM(C18:C24)</f>
        <v>594.6</v>
      </c>
      <c r="D25" s="120">
        <f t="shared" ref="D25:V25" si="1">SUM(D18:D24)</f>
        <v>597.90000000000009</v>
      </c>
      <c r="E25" s="120">
        <f>SUM(E18:E24)</f>
        <v>135.19999999999999</v>
      </c>
      <c r="F25" s="120">
        <f t="shared" si="1"/>
        <v>602.20000000000005</v>
      </c>
      <c r="G25" s="120">
        <f t="shared" si="1"/>
        <v>594.70000000000005</v>
      </c>
      <c r="H25" s="121">
        <f t="shared" si="1"/>
        <v>608.6</v>
      </c>
      <c r="I25" s="122">
        <f t="shared" si="1"/>
        <v>634.5</v>
      </c>
      <c r="J25" s="120">
        <f t="shared" si="1"/>
        <v>632.4</v>
      </c>
      <c r="K25" s="120">
        <f t="shared" si="1"/>
        <v>647.69999999999993</v>
      </c>
      <c r="L25" s="120">
        <f t="shared" si="1"/>
        <v>153.50000000000003</v>
      </c>
      <c r="M25" s="120">
        <f t="shared" si="1"/>
        <v>635.69999999999993</v>
      </c>
      <c r="N25" s="120">
        <f t="shared" si="1"/>
        <v>639.99999999999989</v>
      </c>
      <c r="O25" s="121">
        <f t="shared" si="1"/>
        <v>645.5</v>
      </c>
      <c r="P25" s="122">
        <f t="shared" si="1"/>
        <v>639</v>
      </c>
      <c r="Q25" s="120">
        <f t="shared" si="1"/>
        <v>640.00000000000011</v>
      </c>
      <c r="R25" s="120">
        <f t="shared" si="1"/>
        <v>632.40000000000009</v>
      </c>
      <c r="S25" s="120">
        <f>SUM(S18:S24)</f>
        <v>157.9</v>
      </c>
      <c r="T25" s="120">
        <f t="shared" si="1"/>
        <v>638.90000000000009</v>
      </c>
      <c r="U25" s="120">
        <f t="shared" si="1"/>
        <v>633.59999999999991</v>
      </c>
      <c r="V25" s="121">
        <f t="shared" si="1"/>
        <v>641.20000000000005</v>
      </c>
      <c r="W25" s="361">
        <f>SUM(W18:W24)</f>
        <v>11712.199999999999</v>
      </c>
    </row>
    <row r="26" spans="1:25" s="2" customFormat="1" ht="36.75" customHeight="1" x14ac:dyDescent="0.25">
      <c r="A26" s="148" t="s">
        <v>11</v>
      </c>
      <c r="B26" s="487">
        <v>154.45999999999981</v>
      </c>
      <c r="C26" s="488">
        <v>154.45999999999981</v>
      </c>
      <c r="D26" s="488">
        <v>154.45999999999981</v>
      </c>
      <c r="E26" s="488">
        <v>154.45999999999981</v>
      </c>
      <c r="F26" s="488">
        <v>154.45999999999981</v>
      </c>
      <c r="G26" s="488">
        <v>154.45999999999981</v>
      </c>
      <c r="H26" s="609">
        <v>154.45999999999981</v>
      </c>
      <c r="I26" s="487">
        <v>154.45999999999981</v>
      </c>
      <c r="J26" s="488">
        <v>154.45999999999981</v>
      </c>
      <c r="K26" s="488">
        <v>154.45999999999981</v>
      </c>
      <c r="L26" s="488">
        <v>154.45999999999981</v>
      </c>
      <c r="M26" s="488">
        <v>154.45999999999981</v>
      </c>
      <c r="N26" s="488">
        <v>154.45999999999981</v>
      </c>
      <c r="O26" s="609">
        <v>154.45999999999981</v>
      </c>
      <c r="P26" s="487">
        <v>154.45999999999981</v>
      </c>
      <c r="Q26" s="488">
        <v>154.45999999999981</v>
      </c>
      <c r="R26" s="488">
        <v>154.45999999999981</v>
      </c>
      <c r="S26" s="488">
        <v>154.45999999999981</v>
      </c>
      <c r="T26" s="488">
        <v>154.45999999999981</v>
      </c>
      <c r="U26" s="488">
        <v>154.45999999999981</v>
      </c>
      <c r="V26" s="609">
        <v>154.45999999999981</v>
      </c>
      <c r="W26" s="99">
        <f>((W25/W27)/7)*1000</f>
        <v>154.57976982367225</v>
      </c>
      <c r="Y26" s="41"/>
    </row>
    <row r="27" spans="1:25" s="2" customFormat="1" ht="33" customHeight="1" x14ac:dyDescent="0.25">
      <c r="A27" s="149" t="s">
        <v>12</v>
      </c>
      <c r="B27" s="26">
        <v>559</v>
      </c>
      <c r="C27" s="27">
        <v>550</v>
      </c>
      <c r="D27" s="27">
        <v>553</v>
      </c>
      <c r="E27" s="27">
        <v>125</v>
      </c>
      <c r="F27" s="27">
        <v>557</v>
      </c>
      <c r="G27" s="27">
        <v>550</v>
      </c>
      <c r="H27" s="28">
        <v>562</v>
      </c>
      <c r="I27" s="26">
        <v>586</v>
      </c>
      <c r="J27" s="27">
        <v>585</v>
      </c>
      <c r="K27" s="27">
        <v>597</v>
      </c>
      <c r="L27" s="27">
        <v>141</v>
      </c>
      <c r="M27" s="27">
        <v>588</v>
      </c>
      <c r="N27" s="27">
        <v>592</v>
      </c>
      <c r="O27" s="28">
        <v>597</v>
      </c>
      <c r="P27" s="26">
        <v>591</v>
      </c>
      <c r="Q27" s="27">
        <v>592</v>
      </c>
      <c r="R27" s="27">
        <v>585</v>
      </c>
      <c r="S27" s="27">
        <v>145</v>
      </c>
      <c r="T27" s="27">
        <v>590</v>
      </c>
      <c r="U27" s="27">
        <v>586</v>
      </c>
      <c r="V27" s="28">
        <v>593</v>
      </c>
      <c r="W27" s="29">
        <f>SUM(B27:V27)</f>
        <v>10824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2">((((B26*7)*B27)/1000-B18-B19)/5)</f>
        <v>86.120395999999872</v>
      </c>
      <c r="C28" s="30">
        <f t="shared" si="2"/>
        <v>84.734199999999845</v>
      </c>
      <c r="D28" s="30">
        <f t="shared" si="2"/>
        <v>85.302931999999842</v>
      </c>
      <c r="E28" s="30">
        <f t="shared" si="2"/>
        <v>19.110499999999966</v>
      </c>
      <c r="F28" s="30">
        <f t="shared" si="2"/>
        <v>85.887907999999854</v>
      </c>
      <c r="G28" s="30">
        <f t="shared" si="2"/>
        <v>84.934199999999848</v>
      </c>
      <c r="H28" s="30">
        <f t="shared" si="2"/>
        <v>86.64912799999982</v>
      </c>
      <c r="I28" s="30">
        <f t="shared" si="2"/>
        <v>90.478983999999826</v>
      </c>
      <c r="J28" s="30">
        <f t="shared" si="2"/>
        <v>90.262739999999852</v>
      </c>
      <c r="K28" s="30">
        <f t="shared" si="2"/>
        <v>91.937667999999846</v>
      </c>
      <c r="L28" s="30">
        <f t="shared" si="2"/>
        <v>21.690403999999962</v>
      </c>
      <c r="M28" s="30">
        <f t="shared" si="2"/>
        <v>90.751471999999836</v>
      </c>
      <c r="N28" s="30">
        <f t="shared" si="2"/>
        <v>91.416447999999832</v>
      </c>
      <c r="O28" s="30">
        <f t="shared" si="2"/>
        <v>92.257667999999825</v>
      </c>
      <c r="P28" s="30">
        <f t="shared" si="2"/>
        <v>91.240203999999864</v>
      </c>
      <c r="Q28" s="30">
        <f t="shared" si="2"/>
        <v>91.456447999999838</v>
      </c>
      <c r="R28" s="30">
        <f t="shared" si="2"/>
        <v>90.102739999999855</v>
      </c>
      <c r="S28" s="30">
        <f t="shared" si="2"/>
        <v>22.315379999999966</v>
      </c>
      <c r="T28" s="30">
        <f t="shared" si="2"/>
        <v>90.943959999999834</v>
      </c>
      <c r="U28" s="30">
        <f t="shared" si="2"/>
        <v>90.398983999999842</v>
      </c>
      <c r="V28" s="30">
        <f t="shared" si="2"/>
        <v>91.592691999999857</v>
      </c>
      <c r="W28" s="362">
        <f>((W25*1000)/7)/W27</f>
        <v>154.57976982367225</v>
      </c>
      <c r="Y28" s="41"/>
    </row>
    <row r="29" spans="1:25" ht="33.75" customHeight="1" x14ac:dyDescent="0.25">
      <c r="A29" s="151" t="s">
        <v>14</v>
      </c>
      <c r="B29" s="281">
        <f>((B27*B26)*7)/1000</f>
        <v>604.4019799999993</v>
      </c>
      <c r="C29" s="282">
        <f>((C27*C26)*7)/1000</f>
        <v>594.67099999999925</v>
      </c>
      <c r="D29" s="282">
        <f t="shared" ref="D29:V29" si="3">((D27*D26)*7)/1000</f>
        <v>597.91465999999923</v>
      </c>
      <c r="E29" s="282">
        <f t="shared" si="3"/>
        <v>135.15249999999983</v>
      </c>
      <c r="F29" s="282">
        <f t="shared" si="3"/>
        <v>602.23953999999935</v>
      </c>
      <c r="G29" s="282">
        <f t="shared" si="3"/>
        <v>594.67099999999925</v>
      </c>
      <c r="H29" s="284">
        <f t="shared" si="3"/>
        <v>607.64563999999916</v>
      </c>
      <c r="I29" s="281">
        <f t="shared" si="3"/>
        <v>633.59491999999921</v>
      </c>
      <c r="J29" s="282">
        <f t="shared" si="3"/>
        <v>632.51369999999929</v>
      </c>
      <c r="K29" s="282">
        <f t="shared" si="3"/>
        <v>645.4883399999992</v>
      </c>
      <c r="L29" s="282">
        <f t="shared" si="3"/>
        <v>152.45201999999978</v>
      </c>
      <c r="M29" s="282">
        <f t="shared" si="3"/>
        <v>635.75735999999927</v>
      </c>
      <c r="N29" s="282">
        <f t="shared" si="3"/>
        <v>640.08223999999927</v>
      </c>
      <c r="O29" s="284">
        <f t="shared" si="3"/>
        <v>645.4883399999992</v>
      </c>
      <c r="P29" s="281">
        <f t="shared" si="3"/>
        <v>639.00101999999924</v>
      </c>
      <c r="Q29" s="282">
        <f t="shared" si="3"/>
        <v>640.08223999999927</v>
      </c>
      <c r="R29" s="282">
        <f t="shared" si="3"/>
        <v>632.51369999999929</v>
      </c>
      <c r="S29" s="282">
        <f t="shared" si="3"/>
        <v>156.77689999999978</v>
      </c>
      <c r="T29" s="282">
        <f t="shared" si="3"/>
        <v>637.91979999999921</v>
      </c>
      <c r="U29" s="282">
        <f t="shared" si="3"/>
        <v>633.59491999999921</v>
      </c>
      <c r="V29" s="284">
        <f t="shared" si="3"/>
        <v>641.16345999999919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155.04727830309227</v>
      </c>
      <c r="C30" s="38">
        <f t="shared" ref="C30:V30" si="4">+(C25/C27)/7*1000</f>
        <v>154.44155844155844</v>
      </c>
      <c r="D30" s="38">
        <f t="shared" si="4"/>
        <v>154.45621286489282</v>
      </c>
      <c r="E30" s="38">
        <f t="shared" si="4"/>
        <v>154.51428571428568</v>
      </c>
      <c r="F30" s="38">
        <f t="shared" si="4"/>
        <v>154.44985893818929</v>
      </c>
      <c r="G30" s="38">
        <f t="shared" si="4"/>
        <v>154.46753246753246</v>
      </c>
      <c r="H30" s="39">
        <f t="shared" si="4"/>
        <v>154.70259278088457</v>
      </c>
      <c r="I30" s="37">
        <f t="shared" si="4"/>
        <v>154.68064358849341</v>
      </c>
      <c r="J30" s="38">
        <f t="shared" si="4"/>
        <v>154.43223443223442</v>
      </c>
      <c r="K30" s="38">
        <f t="shared" si="4"/>
        <v>154.98923187365395</v>
      </c>
      <c r="L30" s="38">
        <f t="shared" si="4"/>
        <v>155.5217831813577</v>
      </c>
      <c r="M30" s="38">
        <f t="shared" si="4"/>
        <v>154.44606413994165</v>
      </c>
      <c r="N30" s="38">
        <f t="shared" si="4"/>
        <v>154.4401544401544</v>
      </c>
      <c r="O30" s="39">
        <f t="shared" si="4"/>
        <v>154.4627901411821</v>
      </c>
      <c r="P30" s="37">
        <f t="shared" si="4"/>
        <v>154.45975344452503</v>
      </c>
      <c r="Q30" s="38">
        <f t="shared" si="4"/>
        <v>154.44015444015449</v>
      </c>
      <c r="R30" s="38">
        <f t="shared" si="4"/>
        <v>154.43223443223445</v>
      </c>
      <c r="S30" s="38">
        <f t="shared" si="4"/>
        <v>155.56650246305418</v>
      </c>
      <c r="T30" s="38">
        <f t="shared" si="4"/>
        <v>154.69733656174336</v>
      </c>
      <c r="U30" s="38">
        <f t="shared" si="4"/>
        <v>154.46123842028277</v>
      </c>
      <c r="V30" s="39">
        <f t="shared" si="4"/>
        <v>154.46880269814505</v>
      </c>
      <c r="W30" s="40"/>
    </row>
    <row r="31" spans="1:25" ht="33.75" customHeight="1" x14ac:dyDescent="0.25">
      <c r="A31" s="41"/>
      <c r="B31" s="645">
        <f t="shared" ref="B31:V31" si="5">B29-B25</f>
        <v>-2.2980200000006334</v>
      </c>
      <c r="C31" s="645">
        <f t="shared" si="5"/>
        <v>7.0999999999230567E-2</v>
      </c>
      <c r="D31" s="645">
        <f t="shared" si="5"/>
        <v>1.4659999999139472E-2</v>
      </c>
      <c r="E31" s="645">
        <f t="shared" si="5"/>
        <v>-4.7500000000155751E-2</v>
      </c>
      <c r="F31" s="645">
        <f t="shared" si="5"/>
        <v>3.9539999999306019E-2</v>
      </c>
      <c r="G31" s="645">
        <f t="shared" si="5"/>
        <v>-2.900000000079217E-2</v>
      </c>
      <c r="H31" s="645">
        <f t="shared" si="5"/>
        <v>-0.95436000000086096</v>
      </c>
      <c r="I31" s="645">
        <f t="shared" si="5"/>
        <v>-0.90508000000079392</v>
      </c>
      <c r="J31" s="645">
        <f t="shared" si="5"/>
        <v>0.11369999999931224</v>
      </c>
      <c r="K31" s="645">
        <f t="shared" si="5"/>
        <v>-2.2116600000007338</v>
      </c>
      <c r="L31" s="645">
        <f t="shared" si="5"/>
        <v>-1.0479800000002513</v>
      </c>
      <c r="M31" s="645">
        <f t="shared" si="5"/>
        <v>5.7359999999334832E-2</v>
      </c>
      <c r="N31" s="645">
        <f t="shared" si="5"/>
        <v>8.2239999999387692E-2</v>
      </c>
      <c r="O31" s="645">
        <f t="shared" si="5"/>
        <v>-1.1660000000802029E-2</v>
      </c>
      <c r="P31" s="645">
        <f t="shared" si="5"/>
        <v>1.019999999243737E-3</v>
      </c>
      <c r="Q31" s="645">
        <f t="shared" si="5"/>
        <v>8.2239999999160318E-2</v>
      </c>
      <c r="R31" s="645">
        <f t="shared" si="5"/>
        <v>0.11369999999919855</v>
      </c>
      <c r="S31" s="645">
        <f t="shared" si="5"/>
        <v>-1.1231000000002211</v>
      </c>
      <c r="T31" s="645">
        <f t="shared" si="5"/>
        <v>-0.98020000000087748</v>
      </c>
      <c r="U31" s="645">
        <f t="shared" si="5"/>
        <v>-5.0800000007029666E-3</v>
      </c>
      <c r="V31" s="645">
        <f t="shared" si="5"/>
        <v>-3.6540000000854889E-2</v>
      </c>
      <c r="W31" s="42"/>
      <c r="X31" s="42"/>
    </row>
    <row r="32" spans="1:25" ht="33.75" customHeight="1" x14ac:dyDescent="0.25">
      <c r="A32" s="41"/>
      <c r="B32" s="42">
        <f>B30-B26</f>
        <v>0.58727830309246087</v>
      </c>
      <c r="C32" s="42">
        <f t="shared" ref="C32:V32" si="6">C30-C26</f>
        <v>-1.8441558441367079E-2</v>
      </c>
      <c r="D32" s="42">
        <f t="shared" si="6"/>
        <v>-3.7871351069895809E-3</v>
      </c>
      <c r="E32" s="42">
        <f t="shared" si="6"/>
        <v>5.4285714285867925E-2</v>
      </c>
      <c r="F32" s="42">
        <f t="shared" si="6"/>
        <v>-1.0141061810514884E-2</v>
      </c>
      <c r="G32" s="42">
        <f t="shared" si="6"/>
        <v>7.5324675326555735E-3</v>
      </c>
      <c r="H32" s="42">
        <f t="shared" si="6"/>
        <v>0.24259278088476321</v>
      </c>
      <c r="I32" s="42">
        <f t="shared" si="6"/>
        <v>0.22064358849360133</v>
      </c>
      <c r="J32" s="42">
        <f t="shared" si="6"/>
        <v>-2.7765567765385413E-2</v>
      </c>
      <c r="K32" s="42">
        <f t="shared" si="6"/>
        <v>0.52923187365414037</v>
      </c>
      <c r="L32" s="42">
        <f t="shared" si="6"/>
        <v>1.061783181357896</v>
      </c>
      <c r="M32" s="42">
        <f t="shared" si="6"/>
        <v>-1.3935860058154503E-2</v>
      </c>
      <c r="N32" s="42">
        <f t="shared" si="6"/>
        <v>-1.9845559845407479E-2</v>
      </c>
      <c r="O32" s="42">
        <f t="shared" si="6"/>
        <v>2.7901411822881528E-3</v>
      </c>
      <c r="P32" s="42">
        <f t="shared" si="6"/>
        <v>-2.4655547477436812E-4</v>
      </c>
      <c r="Q32" s="42">
        <f>Q30-Q26</f>
        <v>-1.9845559845322214E-2</v>
      </c>
      <c r="R32" s="42">
        <f t="shared" si="6"/>
        <v>-2.7765567765356991E-2</v>
      </c>
      <c r="S32" s="42">
        <f t="shared" si="6"/>
        <v>1.1065024630543689</v>
      </c>
      <c r="T32" s="42">
        <f t="shared" si="6"/>
        <v>0.23733656174354678</v>
      </c>
      <c r="U32" s="42">
        <f t="shared" si="6"/>
        <v>1.238420282959396E-3</v>
      </c>
      <c r="V32" s="42">
        <f t="shared" si="6"/>
        <v>8.8026981452458131E-3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5" t="s">
        <v>8</v>
      </c>
      <c r="P36" s="1036"/>
      <c r="Q36" s="1036"/>
      <c r="R36" s="1036"/>
      <c r="S36" s="1036"/>
      <c r="T36" s="1036"/>
      <c r="U36" s="1036"/>
      <c r="V36" s="1033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 t="s">
        <v>128</v>
      </c>
      <c r="X38" s="48"/>
      <c r="Y38" s="14"/>
      <c r="Z38" s="243"/>
    </row>
    <row r="39" spans="1:26" ht="33.75" customHeight="1" x14ac:dyDescent="0.25">
      <c r="A39" s="146" t="s">
        <v>51</v>
      </c>
      <c r="B39" s="599">
        <v>81.599999999999994</v>
      </c>
      <c r="C39" s="600">
        <v>82.8</v>
      </c>
      <c r="D39" s="600">
        <v>7.5</v>
      </c>
      <c r="E39" s="600">
        <v>86.1</v>
      </c>
      <c r="F39" s="600">
        <v>85.5</v>
      </c>
      <c r="G39" s="601">
        <v>86.6</v>
      </c>
      <c r="H39" s="540">
        <f t="shared" ref="H39:H46" si="7">SUM(B39:G39)</f>
        <v>430.1</v>
      </c>
      <c r="I39" s="49"/>
      <c r="J39" s="42"/>
      <c r="K39" s="42"/>
      <c r="L39" s="42"/>
      <c r="M39" s="2"/>
      <c r="N39" s="146" t="s">
        <v>51</v>
      </c>
      <c r="O39" s="626">
        <v>5.8</v>
      </c>
      <c r="P39" s="627">
        <v>5.8</v>
      </c>
      <c r="Q39" s="627">
        <v>0.7</v>
      </c>
      <c r="R39" s="627">
        <v>6.3</v>
      </c>
      <c r="S39" s="627">
        <v>6.3</v>
      </c>
      <c r="T39" s="627">
        <v>6.3</v>
      </c>
      <c r="U39" s="644">
        <v>2.6</v>
      </c>
      <c r="V39" s="361">
        <f>SUM(O39:U39)</f>
        <v>33.799999999999997</v>
      </c>
      <c r="W39" s="137">
        <f>V39-U39</f>
        <v>31.199999999999996</v>
      </c>
      <c r="X39" s="48"/>
      <c r="Y39" s="14"/>
      <c r="Z39" s="243"/>
    </row>
    <row r="40" spans="1:26" ht="33.75" customHeight="1" x14ac:dyDescent="0.25">
      <c r="A40" s="146" t="s">
        <v>24</v>
      </c>
      <c r="B40" s="599">
        <v>81.599999999999994</v>
      </c>
      <c r="C40" s="600">
        <v>82.8</v>
      </c>
      <c r="D40" s="600">
        <v>7.5</v>
      </c>
      <c r="E40" s="600">
        <v>86.1</v>
      </c>
      <c r="F40" s="600">
        <v>85.5</v>
      </c>
      <c r="G40" s="601">
        <v>86.6</v>
      </c>
      <c r="H40" s="539">
        <f t="shared" si="7"/>
        <v>430.1</v>
      </c>
      <c r="I40" s="309"/>
      <c r="J40" s="42"/>
      <c r="K40" s="42"/>
      <c r="L40" s="42"/>
      <c r="M40" s="2"/>
      <c r="N40" s="146" t="s">
        <v>24</v>
      </c>
      <c r="O40" s="599">
        <v>5.8</v>
      </c>
      <c r="P40" s="600">
        <v>5.8</v>
      </c>
      <c r="Q40" s="600">
        <v>0.7</v>
      </c>
      <c r="R40" s="600">
        <v>6.3</v>
      </c>
      <c r="S40" s="600">
        <v>6.3</v>
      </c>
      <c r="T40" s="600">
        <v>6.3</v>
      </c>
      <c r="U40" s="499">
        <v>2.6</v>
      </c>
      <c r="V40" s="98">
        <f t="shared" ref="V40:V45" si="8">SUM(O40:U40)</f>
        <v>33.799999999999997</v>
      </c>
      <c r="W40" s="137">
        <f t="shared" ref="W40:W45" si="9">V40-U40</f>
        <v>31.199999999999996</v>
      </c>
      <c r="X40" s="48"/>
      <c r="Y40" s="14"/>
      <c r="Z40" s="243"/>
    </row>
    <row r="41" spans="1:26" ht="33.75" customHeight="1" x14ac:dyDescent="0.25">
      <c r="A41" s="146" t="s">
        <v>20</v>
      </c>
      <c r="B41" s="281">
        <v>81.5</v>
      </c>
      <c r="C41" s="282">
        <v>77.599999999999994</v>
      </c>
      <c r="D41" s="282">
        <v>13.9</v>
      </c>
      <c r="E41" s="282">
        <v>86.2</v>
      </c>
      <c r="F41" s="282">
        <v>85.5</v>
      </c>
      <c r="G41" s="284">
        <v>86.2</v>
      </c>
      <c r="H41" s="539">
        <f t="shared" si="7"/>
        <v>430.9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5.7</v>
      </c>
      <c r="Q41" s="282">
        <v>0.7</v>
      </c>
      <c r="R41" s="282">
        <v>6.3</v>
      </c>
      <c r="S41" s="282">
        <v>6.3</v>
      </c>
      <c r="T41" s="282">
        <v>6.3</v>
      </c>
      <c r="U41" s="499">
        <v>2.6</v>
      </c>
      <c r="V41" s="98">
        <f t="shared" si="8"/>
        <v>33.6</v>
      </c>
      <c r="W41" s="137">
        <f t="shared" si="9"/>
        <v>31</v>
      </c>
      <c r="X41" s="48"/>
      <c r="Y41" s="14"/>
      <c r="Z41" s="243"/>
    </row>
    <row r="42" spans="1:26" ht="33.75" customHeight="1" x14ac:dyDescent="0.25">
      <c r="A42" s="146" t="s">
        <v>28</v>
      </c>
      <c r="B42" s="485">
        <v>81.400000000000006</v>
      </c>
      <c r="C42" s="282">
        <v>77.599999999999994</v>
      </c>
      <c r="D42" s="486">
        <v>13.6</v>
      </c>
      <c r="E42" s="486">
        <v>86</v>
      </c>
      <c r="F42" s="282">
        <v>85.5</v>
      </c>
      <c r="G42" s="284">
        <v>86.2</v>
      </c>
      <c r="H42" s="539">
        <f t="shared" si="7"/>
        <v>430.3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5.7</v>
      </c>
      <c r="Q42" s="282">
        <v>0.7</v>
      </c>
      <c r="R42" s="282">
        <v>6.3</v>
      </c>
      <c r="S42" s="282">
        <v>6.3</v>
      </c>
      <c r="T42" s="282">
        <v>6.3</v>
      </c>
      <c r="U42" s="499">
        <v>2.5</v>
      </c>
      <c r="V42" s="98">
        <f t="shared" si="8"/>
        <v>33.5</v>
      </c>
      <c r="W42" s="137">
        <f t="shared" si="9"/>
        <v>31</v>
      </c>
      <c r="X42" s="48"/>
      <c r="Y42" s="14"/>
      <c r="Z42" s="243"/>
    </row>
    <row r="43" spans="1:26" ht="33.75" customHeight="1" x14ac:dyDescent="0.25">
      <c r="A43" s="146" t="s">
        <v>21</v>
      </c>
      <c r="B43" s="281">
        <v>81.400000000000006</v>
      </c>
      <c r="C43" s="486">
        <v>77.5</v>
      </c>
      <c r="D43" s="486">
        <v>13.5</v>
      </c>
      <c r="E43" s="486">
        <v>85.8</v>
      </c>
      <c r="F43" s="282">
        <v>85.5</v>
      </c>
      <c r="G43" s="499">
        <v>85.9</v>
      </c>
      <c r="H43" s="539">
        <f t="shared" si="7"/>
        <v>429.6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5.7</v>
      </c>
      <c r="Q43" s="282">
        <v>0.7</v>
      </c>
      <c r="R43" s="282">
        <v>6.3</v>
      </c>
      <c r="S43" s="282">
        <v>6.3</v>
      </c>
      <c r="T43" s="282">
        <v>6.3</v>
      </c>
      <c r="U43" s="499">
        <v>2.5</v>
      </c>
      <c r="V43" s="98">
        <f t="shared" si="8"/>
        <v>33.5</v>
      </c>
      <c r="W43" s="137">
        <f t="shared" si="9"/>
        <v>31</v>
      </c>
      <c r="X43" s="48"/>
      <c r="Y43" s="14"/>
      <c r="Z43" s="243"/>
    </row>
    <row r="44" spans="1:26" ht="33.75" customHeight="1" x14ac:dyDescent="0.25">
      <c r="A44" s="146" t="s">
        <v>22</v>
      </c>
      <c r="B44" s="133">
        <v>79.400000000000006</v>
      </c>
      <c r="C44" s="497">
        <v>76.400000000000006</v>
      </c>
      <c r="D44" s="497">
        <v>10.7</v>
      </c>
      <c r="E44" s="497">
        <v>84.7</v>
      </c>
      <c r="F44" s="497">
        <v>84.9</v>
      </c>
      <c r="G44" s="498">
        <v>84</v>
      </c>
      <c r="H44" s="539">
        <f t="shared" si="7"/>
        <v>420.1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5.7</v>
      </c>
      <c r="Q44" s="282">
        <v>1</v>
      </c>
      <c r="R44" s="282">
        <v>6.3</v>
      </c>
      <c r="S44" s="282">
        <v>6.4</v>
      </c>
      <c r="T44" s="282">
        <v>6.5</v>
      </c>
      <c r="U44" s="499">
        <v>2.8</v>
      </c>
      <c r="V44" s="98">
        <f t="shared" si="8"/>
        <v>34.5</v>
      </c>
      <c r="W44" s="137">
        <f t="shared" si="9"/>
        <v>31.7</v>
      </c>
      <c r="X44" s="48"/>
      <c r="Y44" s="14"/>
      <c r="Z44" s="243"/>
    </row>
    <row r="45" spans="1:26" ht="33.75" customHeight="1" thickBot="1" x14ac:dyDescent="0.3">
      <c r="A45" s="146" t="s">
        <v>23</v>
      </c>
      <c r="B45" s="133">
        <v>79.3</v>
      </c>
      <c r="C45" s="497">
        <v>76.400000000000006</v>
      </c>
      <c r="D45" s="497">
        <v>10.7</v>
      </c>
      <c r="E45" s="497">
        <v>84.7</v>
      </c>
      <c r="F45" s="497">
        <v>84.9</v>
      </c>
      <c r="G45" s="498">
        <v>84</v>
      </c>
      <c r="H45" s="562">
        <f t="shared" si="7"/>
        <v>420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5.7</v>
      </c>
      <c r="Q45" s="282">
        <v>1</v>
      </c>
      <c r="R45" s="282">
        <v>6.3</v>
      </c>
      <c r="S45" s="282">
        <v>6.4</v>
      </c>
      <c r="T45" s="282">
        <v>6.5</v>
      </c>
      <c r="U45" s="499">
        <v>2.8</v>
      </c>
      <c r="V45" s="98">
        <f t="shared" si="8"/>
        <v>34.5</v>
      </c>
      <c r="W45" s="137">
        <f t="shared" si="9"/>
        <v>31.7</v>
      </c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10">SUM(B39:B45)</f>
        <v>566.19999999999993</v>
      </c>
      <c r="C46" s="611">
        <f t="shared" si="10"/>
        <v>551.09999999999991</v>
      </c>
      <c r="D46" s="611">
        <f>SUM(D39:D45)</f>
        <v>77.400000000000006</v>
      </c>
      <c r="E46" s="611">
        <f t="shared" si="10"/>
        <v>599.6</v>
      </c>
      <c r="F46" s="611">
        <f t="shared" si="10"/>
        <v>597.29999999999995</v>
      </c>
      <c r="G46" s="612">
        <f t="shared" si="10"/>
        <v>599.5</v>
      </c>
      <c r="H46" s="560">
        <f t="shared" si="7"/>
        <v>2991.0999999999995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40.299999999999997</v>
      </c>
      <c r="P46" s="120">
        <f t="shared" si="11"/>
        <v>40.1</v>
      </c>
      <c r="Q46" s="120">
        <f t="shared" si="11"/>
        <v>5.5</v>
      </c>
      <c r="R46" s="120">
        <f t="shared" si="11"/>
        <v>44.099999999999994</v>
      </c>
      <c r="S46" s="120">
        <f t="shared" si="11"/>
        <v>44.3</v>
      </c>
      <c r="T46" s="120">
        <f t="shared" si="11"/>
        <v>44.5</v>
      </c>
      <c r="U46" s="121">
        <f t="shared" si="11"/>
        <v>18.400000000000002</v>
      </c>
      <c r="V46" s="361">
        <f>SUM(O46:U46)</f>
        <v>237.20000000000002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153.5</v>
      </c>
      <c r="C47" s="114">
        <v>153.5</v>
      </c>
      <c r="D47" s="114">
        <v>153.5</v>
      </c>
      <c r="E47" s="114">
        <v>153.5</v>
      </c>
      <c r="F47" s="114">
        <v>153.5</v>
      </c>
      <c r="G47" s="115">
        <v>153.5</v>
      </c>
      <c r="H47" s="128">
        <f>+((H46/H48)/7)*1000</f>
        <v>153.59453630481664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154.72928897586434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526</v>
      </c>
      <c r="C48" s="27">
        <v>513</v>
      </c>
      <c r="D48" s="27">
        <v>72</v>
      </c>
      <c r="E48" s="27">
        <v>558</v>
      </c>
      <c r="F48" s="27">
        <v>555</v>
      </c>
      <c r="G48" s="28">
        <v>558</v>
      </c>
      <c r="H48" s="129">
        <f>SUM(B48:G48)</f>
        <v>2782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15</v>
      </c>
      <c r="V48" s="276">
        <f>SUM(O48:U48)</f>
        <v>219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80.39739999999999</v>
      </c>
      <c r="C49" s="31">
        <f t="shared" si="12"/>
        <v>77.123699999999985</v>
      </c>
      <c r="D49" s="31">
        <f t="shared" si="12"/>
        <v>12.472800000000001</v>
      </c>
      <c r="E49" s="31">
        <f t="shared" si="12"/>
        <v>85.474199999999996</v>
      </c>
      <c r="F49" s="31">
        <f t="shared" si="12"/>
        <v>85.069499999999991</v>
      </c>
      <c r="G49" s="32">
        <f t="shared" si="12"/>
        <v>85.274199999999993</v>
      </c>
      <c r="H49" s="130">
        <f>((H46*1000)/H48)/7</f>
        <v>153.59453630481667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5.7131999999999996</v>
      </c>
      <c r="P49" s="30">
        <f t="shared" si="13"/>
        <v>5.7131999999999996</v>
      </c>
      <c r="Q49" s="30">
        <f t="shared" si="13"/>
        <v>0.80849999999999989</v>
      </c>
      <c r="R49" s="30">
        <f t="shared" si="13"/>
        <v>6.3196000000000003</v>
      </c>
      <c r="S49" s="30">
        <f t="shared" si="13"/>
        <v>6.3196000000000003</v>
      </c>
      <c r="T49" s="30">
        <f t="shared" si="13"/>
        <v>6.4057000000000013</v>
      </c>
      <c r="U49" s="356">
        <f t="shared" si="13"/>
        <v>2.2255000000000003</v>
      </c>
      <c r="V49" s="454">
        <f>((V46*1000)/V48)/7</f>
        <v>154.72928897586434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565.18700000000001</v>
      </c>
      <c r="C50" s="282">
        <f t="shared" ref="C50:G50" si="14">((C48*C47)*7)/1000</f>
        <v>551.21849999999995</v>
      </c>
      <c r="D50" s="282">
        <f t="shared" si="14"/>
        <v>77.364000000000004</v>
      </c>
      <c r="E50" s="282">
        <f t="shared" si="14"/>
        <v>599.57100000000003</v>
      </c>
      <c r="F50" s="282">
        <f t="shared" si="14"/>
        <v>596.34749999999997</v>
      </c>
      <c r="G50" s="284">
        <f t="shared" si="14"/>
        <v>599.57100000000003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40.165999999999997</v>
      </c>
      <c r="P50" s="282">
        <f t="shared" si="15"/>
        <v>40.165999999999997</v>
      </c>
      <c r="Q50" s="282">
        <f t="shared" si="15"/>
        <v>5.4424999999999999</v>
      </c>
      <c r="R50" s="282">
        <f t="shared" si="15"/>
        <v>44.198</v>
      </c>
      <c r="S50" s="282">
        <f t="shared" si="15"/>
        <v>44.198</v>
      </c>
      <c r="T50" s="282">
        <f t="shared" si="15"/>
        <v>44.628500000000003</v>
      </c>
      <c r="U50" s="284">
        <f t="shared" si="15"/>
        <v>16.327500000000001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153.77512221618687</v>
      </c>
      <c r="C51" s="38">
        <f t="shared" si="16"/>
        <v>153.46700083542183</v>
      </c>
      <c r="D51" s="38">
        <f t="shared" si="16"/>
        <v>153.57142857142861</v>
      </c>
      <c r="E51" s="38">
        <f t="shared" si="16"/>
        <v>153.5074244751664</v>
      </c>
      <c r="F51" s="38">
        <f t="shared" si="16"/>
        <v>153.74517374517373</v>
      </c>
      <c r="G51" s="39">
        <f t="shared" si="16"/>
        <v>153.48182283666154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151.50375939849621</v>
      </c>
      <c r="P51" s="38">
        <f t="shared" si="17"/>
        <v>150.75187969924815</v>
      </c>
      <c r="Q51" s="38">
        <f t="shared" si="17"/>
        <v>157.14285714285717</v>
      </c>
      <c r="R51" s="38">
        <f t="shared" si="17"/>
        <v>153.65853658536582</v>
      </c>
      <c r="S51" s="38">
        <f t="shared" si="17"/>
        <v>154.35540069686411</v>
      </c>
      <c r="T51" s="38">
        <f t="shared" si="17"/>
        <v>155.05226480836237</v>
      </c>
      <c r="U51" s="39">
        <f t="shared" si="17"/>
        <v>175.23809523809524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2" si="18">B50-B46</f>
        <v>-1.01299999999992</v>
      </c>
      <c r="C52" s="645">
        <f t="shared" si="18"/>
        <v>0.11850000000004002</v>
      </c>
      <c r="D52" s="645">
        <f t="shared" si="18"/>
        <v>-3.6000000000001364E-2</v>
      </c>
      <c r="E52" s="645">
        <f t="shared" si="18"/>
        <v>-2.8999999999996362E-2</v>
      </c>
      <c r="F52" s="645">
        <f t="shared" si="18"/>
        <v>-0.95249999999998636</v>
      </c>
      <c r="G52" s="645">
        <f t="shared" si="18"/>
        <v>7.1000000000026375E-2</v>
      </c>
      <c r="H52" s="41"/>
      <c r="I52" s="45"/>
      <c r="J52" s="45"/>
      <c r="K52" s="56"/>
      <c r="L52" s="41"/>
      <c r="M52" s="41"/>
      <c r="N52" s="42"/>
      <c r="O52" s="645">
        <f t="shared" ref="O52:U52" si="19">O50-O46</f>
        <v>-0.13400000000000034</v>
      </c>
      <c r="P52" s="645">
        <f t="shared" si="19"/>
        <v>6.5999999999995396E-2</v>
      </c>
      <c r="Q52" s="645">
        <f t="shared" si="19"/>
        <v>-5.7500000000000107E-2</v>
      </c>
      <c r="R52" s="645">
        <f t="shared" si="19"/>
        <v>9.8000000000006082E-2</v>
      </c>
      <c r="S52" s="645">
        <f t="shared" si="19"/>
        <v>-0.10199999999999676</v>
      </c>
      <c r="T52" s="645">
        <f t="shared" si="19"/>
        <v>0.1285000000000025</v>
      </c>
      <c r="U52" s="645">
        <f t="shared" si="19"/>
        <v>-2.0725000000000016</v>
      </c>
    </row>
    <row r="53" spans="1:27" ht="33.75" customHeight="1" x14ac:dyDescent="0.25">
      <c r="A53" s="41"/>
      <c r="B53" s="42">
        <f>B51-B47</f>
        <v>0.27512221618687249</v>
      </c>
      <c r="C53" s="42">
        <f t="shared" ref="C53:G53" si="20">C51-C47</f>
        <v>-3.2999164578171758E-2</v>
      </c>
      <c r="D53" s="42">
        <f t="shared" si="20"/>
        <v>7.1428571428612031E-2</v>
      </c>
      <c r="E53" s="42">
        <f t="shared" si="20"/>
        <v>7.4244751664025443E-3</v>
      </c>
      <c r="F53" s="42">
        <f t="shared" si="20"/>
        <v>0.24517374517373014</v>
      </c>
      <c r="G53" s="42">
        <f t="shared" si="20"/>
        <v>-1.8177163338464197E-2</v>
      </c>
      <c r="I53" s="2"/>
      <c r="J53" s="2"/>
      <c r="K53" s="45"/>
      <c r="L53" s="41"/>
      <c r="M53" s="42"/>
      <c r="N53" s="42"/>
      <c r="O53" s="42">
        <f t="shared" ref="O53:U53" si="21">O51-O47</f>
        <v>0.50375939849621432</v>
      </c>
      <c r="P53" s="42">
        <f t="shared" si="21"/>
        <v>-0.24812030075185021</v>
      </c>
      <c r="Q53" s="42">
        <f t="shared" si="21"/>
        <v>1.6428571428571672</v>
      </c>
      <c r="R53" s="42">
        <f t="shared" si="21"/>
        <v>-0.34146341463417684</v>
      </c>
      <c r="S53" s="42">
        <f t="shared" si="21"/>
        <v>0.35540069686410902</v>
      </c>
      <c r="T53" s="42">
        <f t="shared" si="21"/>
        <v>-0.44773519163763353</v>
      </c>
      <c r="U53" s="42">
        <f t="shared" si="21"/>
        <v>19.738095238095241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5"/>
      <c r="P57" s="620" t="s">
        <v>126</v>
      </c>
      <c r="Q57" s="1051" t="s">
        <v>8</v>
      </c>
      <c r="R57" s="1052"/>
      <c r="S57" s="1052"/>
      <c r="T57" s="1052"/>
      <c r="U57" s="1052"/>
      <c r="V57" s="1052"/>
      <c r="W57" s="1053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1.8</v>
      </c>
      <c r="F60" s="600">
        <v>7</v>
      </c>
      <c r="G60" s="600">
        <v>6.9</v>
      </c>
      <c r="H60" s="603">
        <v>6.9</v>
      </c>
      <c r="I60" s="599">
        <v>7</v>
      </c>
      <c r="J60" s="604">
        <v>7</v>
      </c>
      <c r="K60" s="600">
        <v>7.2</v>
      </c>
      <c r="L60" s="604">
        <v>1.8</v>
      </c>
      <c r="M60" s="604">
        <v>7</v>
      </c>
      <c r="N60" s="600">
        <v>7.1</v>
      </c>
      <c r="O60" s="605">
        <v>6.9</v>
      </c>
      <c r="P60" s="636">
        <v>8.1999999999999993</v>
      </c>
      <c r="Q60" s="633">
        <v>7</v>
      </c>
      <c r="R60" s="621">
        <v>7.1</v>
      </c>
      <c r="S60" s="621">
        <v>6.9</v>
      </c>
      <c r="T60" s="621">
        <v>1.7</v>
      </c>
      <c r="U60" s="621">
        <v>7.1</v>
      </c>
      <c r="V60" s="621">
        <v>7.1</v>
      </c>
      <c r="W60" s="622">
        <v>7.2</v>
      </c>
      <c r="X60" s="636">
        <v>4.7</v>
      </c>
      <c r="Y60" s="313">
        <f t="shared" ref="Y60:Y66" si="22">SUM(B60:X60)</f>
        <v>144.39999999999998</v>
      </c>
      <c r="Z60" s="643">
        <f>Y60-X60-P60</f>
        <v>131.5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1.8</v>
      </c>
      <c r="F61" s="600">
        <v>7</v>
      </c>
      <c r="G61" s="600">
        <v>6.9</v>
      </c>
      <c r="H61" s="603">
        <v>6.9</v>
      </c>
      <c r="I61" s="599">
        <v>7</v>
      </c>
      <c r="J61" s="604">
        <v>7</v>
      </c>
      <c r="K61" s="600">
        <v>7.2</v>
      </c>
      <c r="L61" s="604">
        <v>1.8</v>
      </c>
      <c r="M61" s="604">
        <v>7</v>
      </c>
      <c r="N61" s="600">
        <v>7.1</v>
      </c>
      <c r="O61" s="605">
        <v>6.9</v>
      </c>
      <c r="P61" s="637">
        <v>8.1999999999999993</v>
      </c>
      <c r="Q61" s="634">
        <v>7</v>
      </c>
      <c r="R61" s="604">
        <v>7.1</v>
      </c>
      <c r="S61" s="604">
        <v>6.9</v>
      </c>
      <c r="T61" s="604">
        <v>1.7</v>
      </c>
      <c r="U61" s="604">
        <v>7.1</v>
      </c>
      <c r="V61" s="604">
        <v>7.1</v>
      </c>
      <c r="W61" s="605">
        <v>7.2</v>
      </c>
      <c r="X61" s="637">
        <v>4.7</v>
      </c>
      <c r="Y61" s="313">
        <f t="shared" si="22"/>
        <v>144.39999999999998</v>
      </c>
      <c r="Z61" s="643">
        <f t="shared" ref="Z61:Z66" si="23">Y61-X61-P61</f>
        <v>131.5</v>
      </c>
      <c r="AA61" s="643">
        <f t="shared" ref="AA61:AA66" si="24">X61+P61</f>
        <v>12.899999999999999</v>
      </c>
    </row>
    <row r="62" spans="1:27" ht="33.75" customHeight="1" x14ac:dyDescent="0.25">
      <c r="A62" s="146" t="s">
        <v>20</v>
      </c>
      <c r="B62" s="281">
        <v>6.9</v>
      </c>
      <c r="C62" s="282">
        <v>6.9</v>
      </c>
      <c r="D62" s="282">
        <v>6.7</v>
      </c>
      <c r="E62" s="282">
        <v>1.7</v>
      </c>
      <c r="F62" s="282">
        <v>6.9</v>
      </c>
      <c r="G62" s="282">
        <v>6.8</v>
      </c>
      <c r="H62" s="283">
        <v>6.8</v>
      </c>
      <c r="I62" s="281">
        <v>6.9</v>
      </c>
      <c r="J62" s="561">
        <v>6.9</v>
      </c>
      <c r="K62" s="282">
        <v>7</v>
      </c>
      <c r="L62" s="561">
        <v>1.7</v>
      </c>
      <c r="M62" s="561">
        <v>6.9</v>
      </c>
      <c r="N62" s="282">
        <v>7</v>
      </c>
      <c r="O62" s="474">
        <v>6.8</v>
      </c>
      <c r="P62" s="638">
        <v>3.7</v>
      </c>
      <c r="Q62" s="608">
        <v>7</v>
      </c>
      <c r="R62" s="561">
        <v>7.2</v>
      </c>
      <c r="S62" s="561">
        <v>6.9</v>
      </c>
      <c r="T62" s="561">
        <v>1.7</v>
      </c>
      <c r="U62" s="561">
        <v>7</v>
      </c>
      <c r="V62" s="561">
        <v>6.9</v>
      </c>
      <c r="W62" s="474">
        <v>7.1</v>
      </c>
      <c r="X62" s="638">
        <v>8.6999999999999993</v>
      </c>
      <c r="Y62" s="313">
        <f t="shared" si="22"/>
        <v>142.1</v>
      </c>
      <c r="Z62" s="643">
        <f t="shared" si="23"/>
        <v>129.70000000000002</v>
      </c>
      <c r="AA62" s="643">
        <f t="shared" si="24"/>
        <v>12.399999999999999</v>
      </c>
    </row>
    <row r="63" spans="1:27" ht="33.75" customHeight="1" x14ac:dyDescent="0.25">
      <c r="A63" s="146" t="s">
        <v>28</v>
      </c>
      <c r="B63" s="281">
        <v>6.9</v>
      </c>
      <c r="C63" s="486">
        <v>6.8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</v>
      </c>
      <c r="L63" s="561">
        <v>1.7</v>
      </c>
      <c r="M63" s="561">
        <v>6.9</v>
      </c>
      <c r="N63" s="282">
        <v>7</v>
      </c>
      <c r="O63" s="474">
        <v>6.8</v>
      </c>
      <c r="P63" s="638">
        <v>3.7</v>
      </c>
      <c r="Q63" s="608">
        <v>7</v>
      </c>
      <c r="R63" s="561">
        <v>7.2</v>
      </c>
      <c r="S63" s="561">
        <v>6.9</v>
      </c>
      <c r="T63" s="561">
        <v>1.7</v>
      </c>
      <c r="U63" s="561">
        <v>7</v>
      </c>
      <c r="V63" s="561">
        <v>6.9</v>
      </c>
      <c r="W63" s="474">
        <v>7.1</v>
      </c>
      <c r="X63" s="638">
        <v>8.6999999999999993</v>
      </c>
      <c r="Y63" s="313">
        <f t="shared" si="22"/>
        <v>142</v>
      </c>
      <c r="Z63" s="643">
        <f t="shared" si="23"/>
        <v>129.60000000000002</v>
      </c>
      <c r="AA63" s="643">
        <f t="shared" si="24"/>
        <v>12.399999999999999</v>
      </c>
    </row>
    <row r="64" spans="1:27" ht="33.75" customHeight="1" x14ac:dyDescent="0.25">
      <c r="A64" s="146" t="s">
        <v>21</v>
      </c>
      <c r="B64" s="281">
        <v>6.9</v>
      </c>
      <c r="C64" s="282">
        <v>6.8</v>
      </c>
      <c r="D64" s="282">
        <v>6.7</v>
      </c>
      <c r="E64" s="282">
        <v>1.7</v>
      </c>
      <c r="F64" s="282">
        <v>6.9</v>
      </c>
      <c r="G64" s="282">
        <v>6.8</v>
      </c>
      <c r="H64" s="283">
        <v>6.8</v>
      </c>
      <c r="I64" s="281">
        <v>6.9</v>
      </c>
      <c r="J64" s="561">
        <v>6.9</v>
      </c>
      <c r="K64" s="282">
        <v>7</v>
      </c>
      <c r="L64" s="561">
        <v>1.7</v>
      </c>
      <c r="M64" s="561">
        <v>6.9</v>
      </c>
      <c r="N64" s="282">
        <v>7</v>
      </c>
      <c r="O64" s="474">
        <v>6.8</v>
      </c>
      <c r="P64" s="638">
        <v>3.7</v>
      </c>
      <c r="Q64" s="608">
        <v>7</v>
      </c>
      <c r="R64" s="561">
        <v>7.2</v>
      </c>
      <c r="S64" s="561">
        <v>6.9</v>
      </c>
      <c r="T64" s="561">
        <v>1.7</v>
      </c>
      <c r="U64" s="557">
        <v>6.9</v>
      </c>
      <c r="V64" s="561">
        <v>6.9</v>
      </c>
      <c r="W64" s="474">
        <v>7.1</v>
      </c>
      <c r="X64" s="638">
        <v>8.6999999999999993</v>
      </c>
      <c r="Y64" s="313">
        <f t="shared" si="22"/>
        <v>141.9</v>
      </c>
      <c r="Z64" s="643">
        <f t="shared" si="23"/>
        <v>129.50000000000003</v>
      </c>
      <c r="AA64" s="643">
        <f t="shared" si="24"/>
        <v>12.399999999999999</v>
      </c>
    </row>
    <row r="65" spans="1:27" ht="33.75" customHeight="1" x14ac:dyDescent="0.25">
      <c r="A65" s="146" t="s">
        <v>22</v>
      </c>
      <c r="B65" s="281">
        <v>6.4</v>
      </c>
      <c r="C65" s="282">
        <v>6</v>
      </c>
      <c r="D65" s="282">
        <v>6.8</v>
      </c>
      <c r="E65" s="282">
        <v>1.7</v>
      </c>
      <c r="F65" s="282">
        <v>6.9</v>
      </c>
      <c r="G65" s="282">
        <v>7</v>
      </c>
      <c r="H65" s="283">
        <v>7</v>
      </c>
      <c r="I65" s="281">
        <v>7.1</v>
      </c>
      <c r="J65" s="561">
        <v>7</v>
      </c>
      <c r="K65" s="282">
        <v>7.2</v>
      </c>
      <c r="L65" s="561">
        <v>1.7</v>
      </c>
      <c r="M65" s="561">
        <v>6.9</v>
      </c>
      <c r="N65" s="282">
        <v>7</v>
      </c>
      <c r="O65" s="474">
        <v>7</v>
      </c>
      <c r="P65" s="638">
        <v>3.9</v>
      </c>
      <c r="Q65" s="608">
        <v>7.2</v>
      </c>
      <c r="R65" s="561">
        <v>6.8</v>
      </c>
      <c r="S65" s="561">
        <v>7</v>
      </c>
      <c r="T65" s="561">
        <v>1.8</v>
      </c>
      <c r="U65" s="646">
        <v>6.7</v>
      </c>
      <c r="V65" s="561">
        <v>7.1</v>
      </c>
      <c r="W65" s="474">
        <v>7.2</v>
      </c>
      <c r="X65" s="638">
        <v>8.6999999999999993</v>
      </c>
      <c r="Y65" s="313">
        <f t="shared" si="22"/>
        <v>142.1</v>
      </c>
      <c r="Z65" s="643">
        <f t="shared" si="23"/>
        <v>129.5</v>
      </c>
      <c r="AA65" s="643">
        <f t="shared" si="24"/>
        <v>12.6</v>
      </c>
    </row>
    <row r="66" spans="1:27" ht="33.75" customHeight="1" thickBot="1" x14ac:dyDescent="0.3">
      <c r="A66" s="146" t="s">
        <v>23</v>
      </c>
      <c r="B66" s="281">
        <v>6.4</v>
      </c>
      <c r="C66" s="282">
        <v>6</v>
      </c>
      <c r="D66" s="282">
        <v>6.8</v>
      </c>
      <c r="E66" s="282">
        <v>1.7</v>
      </c>
      <c r="F66" s="282">
        <v>6.9</v>
      </c>
      <c r="G66" s="282">
        <v>7</v>
      </c>
      <c r="H66" s="283">
        <v>7</v>
      </c>
      <c r="I66" s="281">
        <v>7.1</v>
      </c>
      <c r="J66" s="561">
        <v>7</v>
      </c>
      <c r="K66" s="282">
        <v>7.2</v>
      </c>
      <c r="L66" s="561">
        <v>1.7</v>
      </c>
      <c r="M66" s="561">
        <v>6.9</v>
      </c>
      <c r="N66" s="282">
        <v>7</v>
      </c>
      <c r="O66" s="474">
        <v>7</v>
      </c>
      <c r="P66" s="638">
        <v>3.9</v>
      </c>
      <c r="Q66" s="608">
        <v>7.2</v>
      </c>
      <c r="R66" s="561">
        <v>6.8</v>
      </c>
      <c r="S66" s="561">
        <v>7</v>
      </c>
      <c r="T66" s="561">
        <v>1.8</v>
      </c>
      <c r="U66" s="646">
        <v>6.7</v>
      </c>
      <c r="V66" s="561">
        <v>7.1</v>
      </c>
      <c r="W66" s="474">
        <v>7.2</v>
      </c>
      <c r="X66" s="638">
        <v>8.6999999999999993</v>
      </c>
      <c r="Y66" s="313">
        <f t="shared" si="22"/>
        <v>142.1</v>
      </c>
      <c r="Z66" s="643">
        <f t="shared" si="23"/>
        <v>129.5</v>
      </c>
      <c r="AA66" s="643">
        <f t="shared" si="24"/>
        <v>12.6</v>
      </c>
    </row>
    <row r="67" spans="1:27" ht="33.75" customHeight="1" x14ac:dyDescent="0.25">
      <c r="A67" s="182" t="s">
        <v>9</v>
      </c>
      <c r="B67" s="122">
        <f>SUM(B60:B66)</f>
        <v>47.499999999999993</v>
      </c>
      <c r="C67" s="120">
        <f>SUM(C60:C66)</f>
        <v>46.5</v>
      </c>
      <c r="D67" s="120">
        <f t="shared" ref="D67:X67" si="25">SUM(D60:D66)</f>
        <v>47.3</v>
      </c>
      <c r="E67" s="120">
        <f t="shared" si="25"/>
        <v>12.099999999999998</v>
      </c>
      <c r="F67" s="120">
        <f t="shared" si="25"/>
        <v>48.499999999999993</v>
      </c>
      <c r="G67" s="120">
        <f t="shared" si="25"/>
        <v>48.2</v>
      </c>
      <c r="H67" s="121">
        <f t="shared" si="25"/>
        <v>48.2</v>
      </c>
      <c r="I67" s="119">
        <f t="shared" si="25"/>
        <v>48.9</v>
      </c>
      <c r="J67" s="120">
        <f t="shared" si="25"/>
        <v>48.699999999999996</v>
      </c>
      <c r="K67" s="120">
        <f t="shared" si="25"/>
        <v>49.800000000000004</v>
      </c>
      <c r="L67" s="120">
        <f t="shared" si="25"/>
        <v>12.099999999999998</v>
      </c>
      <c r="M67" s="120">
        <f t="shared" si="25"/>
        <v>48.499999999999993</v>
      </c>
      <c r="N67" s="120">
        <f t="shared" si="25"/>
        <v>49.2</v>
      </c>
      <c r="O67" s="268">
        <f t="shared" si="25"/>
        <v>48.2</v>
      </c>
      <c r="P67" s="639">
        <f t="shared" si="25"/>
        <v>35.299999999999997</v>
      </c>
      <c r="Q67" s="119">
        <f t="shared" si="25"/>
        <v>49.400000000000006</v>
      </c>
      <c r="R67" s="120">
        <f t="shared" si="25"/>
        <v>49.399999999999991</v>
      </c>
      <c r="S67" s="120">
        <f t="shared" si="25"/>
        <v>48.5</v>
      </c>
      <c r="T67" s="120">
        <f t="shared" si="25"/>
        <v>12.100000000000001</v>
      </c>
      <c r="U67" s="120">
        <f t="shared" si="25"/>
        <v>48.500000000000007</v>
      </c>
      <c r="V67" s="120">
        <f t="shared" si="25"/>
        <v>49.1</v>
      </c>
      <c r="W67" s="268">
        <f t="shared" si="25"/>
        <v>50.100000000000009</v>
      </c>
      <c r="X67" s="639">
        <f t="shared" si="25"/>
        <v>52.900000000000006</v>
      </c>
      <c r="Y67" s="326">
        <f>SUM(Y60:Y66)</f>
        <v>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157.52128666035949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42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11</v>
      </c>
      <c r="U69" s="27">
        <v>44</v>
      </c>
      <c r="V69" s="27">
        <v>45</v>
      </c>
      <c r="W69" s="156">
        <v>46</v>
      </c>
      <c r="X69" s="640">
        <v>32</v>
      </c>
      <c r="Y69" s="328">
        <f>SUM(B69:X69)</f>
        <v>906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6.7115999999999998</v>
      </c>
      <c r="C70" s="30">
        <f t="shared" si="26"/>
        <v>6.4903999999999993</v>
      </c>
      <c r="D70" s="30">
        <f t="shared" si="26"/>
        <v>6.7615000000000007</v>
      </c>
      <c r="E70" s="30">
        <f t="shared" si="26"/>
        <v>1.7054999999999996</v>
      </c>
      <c r="F70" s="30">
        <f t="shared" si="26"/>
        <v>6.9019999999999992</v>
      </c>
      <c r="G70" s="30">
        <f t="shared" si="26"/>
        <v>6.8803999999999998</v>
      </c>
      <c r="H70" s="30">
        <f t="shared" si="26"/>
        <v>6.8803999999999998</v>
      </c>
      <c r="I70" s="30">
        <f t="shared" si="26"/>
        <v>6.9635999999999996</v>
      </c>
      <c r="J70" s="30">
        <f t="shared" si="26"/>
        <v>6.9635999999999996</v>
      </c>
      <c r="K70" s="30">
        <f t="shared" si="26"/>
        <v>7.0739999999999998</v>
      </c>
      <c r="L70" s="30">
        <f t="shared" si="26"/>
        <v>1.7131999999999998</v>
      </c>
      <c r="M70" s="30">
        <f t="shared" si="26"/>
        <v>6.9019999999999992</v>
      </c>
      <c r="N70" s="30">
        <f t="shared" si="26"/>
        <v>7.019499999999999</v>
      </c>
      <c r="O70" s="30">
        <f t="shared" si="26"/>
        <v>6.8803999999999998</v>
      </c>
      <c r="P70" s="30">
        <f t="shared" si="26"/>
        <v>7.3039999999999994</v>
      </c>
      <c r="Q70" s="30">
        <f t="shared" si="26"/>
        <v>7.0867999999999993</v>
      </c>
      <c r="R70" s="30">
        <f t="shared" si="26"/>
        <v>7.0467999999999993</v>
      </c>
      <c r="S70" s="30">
        <f t="shared" si="26"/>
        <v>6.9420000000000002</v>
      </c>
      <c r="T70" s="30">
        <f t="shared" si="26"/>
        <v>1.7455000000000003</v>
      </c>
      <c r="U70" s="30">
        <f t="shared" si="26"/>
        <v>6.8619999999999992</v>
      </c>
      <c r="V70" s="30">
        <f t="shared" si="26"/>
        <v>6.9879999999999995</v>
      </c>
      <c r="W70" s="30">
        <f t="shared" si="26"/>
        <v>7.1663999999999985</v>
      </c>
      <c r="X70" s="30">
        <f t="shared" si="26"/>
        <v>5.1760000000000002</v>
      </c>
      <c r="Y70" s="329">
        <f>((Y67*1000)/7)/Y69</f>
        <v>157.52128666035949</v>
      </c>
      <c r="Z70" s="243"/>
    </row>
    <row r="71" spans="1:27" ht="33.75" customHeight="1" x14ac:dyDescent="0.25">
      <c r="A71" s="151" t="s">
        <v>14</v>
      </c>
      <c r="B71" s="281">
        <f>((B69*B68)*7)/1000</f>
        <v>47.558</v>
      </c>
      <c r="C71" s="282">
        <f>((C69*C68)*7)/1000</f>
        <v>46.451999999999998</v>
      </c>
      <c r="D71" s="282">
        <f t="shared" ref="D71:X71" si="27">((D69*D68)*7)/1000</f>
        <v>47.407499999999999</v>
      </c>
      <c r="E71" s="282">
        <f t="shared" si="27"/>
        <v>12.1275</v>
      </c>
      <c r="F71" s="282">
        <f t="shared" si="27"/>
        <v>48.51</v>
      </c>
      <c r="G71" s="282">
        <f t="shared" si="27"/>
        <v>48.201999999999998</v>
      </c>
      <c r="H71" s="284">
        <f t="shared" si="27"/>
        <v>48.201999999999998</v>
      </c>
      <c r="I71" s="285">
        <f t="shared" si="27"/>
        <v>48.817999999999998</v>
      </c>
      <c r="J71" s="282">
        <f t="shared" si="27"/>
        <v>48.817999999999998</v>
      </c>
      <c r="K71" s="282">
        <f t="shared" si="27"/>
        <v>49.77</v>
      </c>
      <c r="L71" s="282">
        <f t="shared" si="27"/>
        <v>12.166</v>
      </c>
      <c r="M71" s="282">
        <f t="shared" si="27"/>
        <v>48.51</v>
      </c>
      <c r="N71" s="282">
        <f t="shared" si="27"/>
        <v>49.297499999999999</v>
      </c>
      <c r="O71" s="283">
        <f t="shared" si="27"/>
        <v>48.201999999999998</v>
      </c>
      <c r="P71" s="619">
        <f t="shared" si="27"/>
        <v>52.92</v>
      </c>
      <c r="Q71" s="285">
        <f t="shared" si="27"/>
        <v>49.433999999999997</v>
      </c>
      <c r="R71" s="282">
        <f t="shared" si="27"/>
        <v>49.433999999999997</v>
      </c>
      <c r="S71" s="282">
        <f t="shared" si="27"/>
        <v>48.51</v>
      </c>
      <c r="T71" s="282">
        <f t="shared" si="27"/>
        <v>12.1275</v>
      </c>
      <c r="U71" s="282">
        <f t="shared" si="27"/>
        <v>48.51</v>
      </c>
      <c r="V71" s="282">
        <f t="shared" si="27"/>
        <v>49.14</v>
      </c>
      <c r="W71" s="283">
        <f t="shared" si="27"/>
        <v>50.231999999999999</v>
      </c>
      <c r="X71" s="619">
        <f t="shared" si="27"/>
        <v>35.28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157.80730897009963</v>
      </c>
      <c r="C72" s="38">
        <f t="shared" ref="C72:X72" si="28">+(C67/C69)/7*1000</f>
        <v>158.16326530612247</v>
      </c>
      <c r="D72" s="38">
        <f t="shared" si="28"/>
        <v>157.14285714285711</v>
      </c>
      <c r="E72" s="38">
        <f>+(E67/E69)/7*1000</f>
        <v>157.14285714285711</v>
      </c>
      <c r="F72" s="38">
        <f t="shared" si="28"/>
        <v>157.46753246753246</v>
      </c>
      <c r="G72" s="38">
        <f t="shared" si="28"/>
        <v>156.49350649350649</v>
      </c>
      <c r="H72" s="39">
        <f t="shared" si="28"/>
        <v>156.49350649350649</v>
      </c>
      <c r="I72" s="67">
        <f t="shared" si="28"/>
        <v>158.76623376623374</v>
      </c>
      <c r="J72" s="38">
        <f t="shared" si="28"/>
        <v>158.11688311688309</v>
      </c>
      <c r="K72" s="38">
        <f t="shared" si="28"/>
        <v>158.0952380952381</v>
      </c>
      <c r="L72" s="38">
        <f t="shared" si="28"/>
        <v>157.14285714285711</v>
      </c>
      <c r="M72" s="38">
        <f t="shared" si="28"/>
        <v>157.46753246753246</v>
      </c>
      <c r="N72" s="38">
        <f t="shared" si="28"/>
        <v>156.1904761904762</v>
      </c>
      <c r="O72" s="158">
        <f t="shared" si="28"/>
        <v>156.49350649350649</v>
      </c>
      <c r="P72" s="255">
        <f t="shared" si="28"/>
        <v>105.0595238095238</v>
      </c>
      <c r="Q72" s="67">
        <f t="shared" si="28"/>
        <v>160.3896103896104</v>
      </c>
      <c r="R72" s="38">
        <f t="shared" si="28"/>
        <v>160.38961038961037</v>
      </c>
      <c r="S72" s="38">
        <f t="shared" si="28"/>
        <v>157.46753246753246</v>
      </c>
      <c r="T72" s="38">
        <f t="shared" si="28"/>
        <v>157.14285714285717</v>
      </c>
      <c r="U72" s="38">
        <f t="shared" si="28"/>
        <v>157.46753246753249</v>
      </c>
      <c r="V72" s="38">
        <f t="shared" si="28"/>
        <v>155.87301587301587</v>
      </c>
      <c r="W72" s="158">
        <f t="shared" si="28"/>
        <v>155.5900621118013</v>
      </c>
      <c r="X72" s="255">
        <f t="shared" si="28"/>
        <v>236.16071428571431</v>
      </c>
      <c r="Y72" s="237"/>
      <c r="Z72" s="243"/>
    </row>
    <row r="73" spans="1:27" ht="33.75" customHeight="1" x14ac:dyDescent="0.25">
      <c r="A73" s="41"/>
      <c r="B73" s="645">
        <f t="shared" ref="B73:X73" si="29">B71-B67</f>
        <v>5.8000000000006935E-2</v>
      </c>
      <c r="C73" s="645">
        <f t="shared" si="29"/>
        <v>-4.8000000000001819E-2</v>
      </c>
      <c r="D73" s="645">
        <f t="shared" si="29"/>
        <v>0.10750000000000171</v>
      </c>
      <c r="E73" s="645">
        <f t="shared" si="29"/>
        <v>2.7500000000001634E-2</v>
      </c>
      <c r="F73" s="645">
        <f t="shared" si="29"/>
        <v>1.0000000000005116E-2</v>
      </c>
      <c r="G73" s="645">
        <f t="shared" si="29"/>
        <v>1.9999999999953388E-3</v>
      </c>
      <c r="H73" s="645">
        <f t="shared" si="29"/>
        <v>1.9999999999953388E-3</v>
      </c>
      <c r="I73" s="645">
        <f t="shared" si="29"/>
        <v>-8.2000000000000739E-2</v>
      </c>
      <c r="J73" s="645">
        <f t="shared" si="29"/>
        <v>0.1180000000000021</v>
      </c>
      <c r="K73" s="645">
        <f t="shared" si="29"/>
        <v>-3.0000000000001137E-2</v>
      </c>
      <c r="L73" s="645">
        <f t="shared" si="29"/>
        <v>6.6000000000002501E-2</v>
      </c>
      <c r="M73" s="645">
        <f t="shared" si="29"/>
        <v>1.0000000000005116E-2</v>
      </c>
      <c r="N73" s="645">
        <f t="shared" si="29"/>
        <v>9.7499999999996589E-2</v>
      </c>
      <c r="O73" s="645">
        <f t="shared" si="29"/>
        <v>1.9999999999953388E-3</v>
      </c>
      <c r="P73" s="645">
        <f t="shared" si="29"/>
        <v>17.620000000000005</v>
      </c>
      <c r="Q73" s="645">
        <f t="shared" si="29"/>
        <v>3.3999999999991815E-2</v>
      </c>
      <c r="R73" s="645">
        <f t="shared" si="29"/>
        <v>3.4000000000006025E-2</v>
      </c>
      <c r="S73" s="645">
        <f t="shared" si="29"/>
        <v>9.9999999999980105E-3</v>
      </c>
      <c r="T73" s="645">
        <f t="shared" si="29"/>
        <v>2.7499999999998082E-2</v>
      </c>
      <c r="U73" s="645">
        <f t="shared" si="29"/>
        <v>9.9999999999909051E-3</v>
      </c>
      <c r="V73" s="645">
        <f t="shared" si="29"/>
        <v>3.9999999999999147E-2</v>
      </c>
      <c r="W73" s="645">
        <f t="shared" si="29"/>
        <v>0.13199999999999079</v>
      </c>
      <c r="X73" s="645">
        <f t="shared" si="29"/>
        <v>-17.620000000000005</v>
      </c>
      <c r="Y73" s="14"/>
      <c r="Z73" s="243"/>
    </row>
    <row r="74" spans="1:27" ht="33.75" customHeight="1" x14ac:dyDescent="0.25">
      <c r="A74" s="41"/>
      <c r="B74" s="42">
        <f>B72-B68</f>
        <v>-0.19269102990037368</v>
      </c>
      <c r="C74" s="42">
        <f t="shared" ref="C74:X74" si="30">C72-C68</f>
        <v>0.1632653061224687</v>
      </c>
      <c r="D74" s="42">
        <f t="shared" si="30"/>
        <v>-0.35714285714288962</v>
      </c>
      <c r="E74" s="42">
        <f t="shared" si="30"/>
        <v>-0.35714285714288962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0.26623376623373929</v>
      </c>
      <c r="J74" s="42">
        <f t="shared" si="30"/>
        <v>-0.38311688311691228</v>
      </c>
      <c r="K74" s="42">
        <f t="shared" si="30"/>
        <v>9.5238095238102005E-2</v>
      </c>
      <c r="L74" s="42">
        <f t="shared" si="30"/>
        <v>-0.85714285714288962</v>
      </c>
      <c r="M74" s="42">
        <f t="shared" si="30"/>
        <v>-3.246753246753542E-2</v>
      </c>
      <c r="N74" s="42">
        <f t="shared" si="30"/>
        <v>-0.30952380952379599</v>
      </c>
      <c r="O74" s="42">
        <f t="shared" si="30"/>
        <v>-6.4935064935127684E-3</v>
      </c>
      <c r="P74" s="42">
        <f t="shared" si="30"/>
        <v>-52.440476190476204</v>
      </c>
      <c r="Q74" s="42">
        <f t="shared" si="30"/>
        <v>-0.11038961038960338</v>
      </c>
      <c r="R74" s="42">
        <f>R72-R68</f>
        <v>-0.1103896103896318</v>
      </c>
      <c r="S74" s="42">
        <f t="shared" si="30"/>
        <v>-3.246753246753542E-2</v>
      </c>
      <c r="T74" s="42">
        <f t="shared" si="30"/>
        <v>-0.35714285714283278</v>
      </c>
      <c r="U74" s="42">
        <f t="shared" si="30"/>
        <v>-3.2467532467506999E-2</v>
      </c>
      <c r="V74" s="42">
        <f t="shared" si="30"/>
        <v>-0.12698412698412653</v>
      </c>
      <c r="W74" s="42">
        <f t="shared" si="30"/>
        <v>-0.40993788819869792</v>
      </c>
      <c r="X74" s="42">
        <f t="shared" si="30"/>
        <v>78.660714285714306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2"/>
  <dimension ref="A1:AA237"/>
  <sheetViews>
    <sheetView topLeftCell="A47" zoomScale="30" zoomScaleNormal="30" workbookViewId="0">
      <selection activeCell="X53" sqref="X53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52</v>
      </c>
      <c r="Q11" s="1022"/>
      <c r="R11" s="6"/>
      <c r="S11" s="1" t="s">
        <v>6</v>
      </c>
      <c r="T11" s="95">
        <v>45735</v>
      </c>
      <c r="U11" s="95">
        <f>T11+6</f>
        <v>45741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86</v>
      </c>
      <c r="C18" s="497">
        <v>83.9</v>
      </c>
      <c r="D18" s="497">
        <v>84.7</v>
      </c>
      <c r="E18" s="497">
        <v>16.8</v>
      </c>
      <c r="F18" s="497">
        <v>85.9</v>
      </c>
      <c r="G18" s="497">
        <v>84.8</v>
      </c>
      <c r="H18" s="498">
        <v>86.5</v>
      </c>
      <c r="I18" s="126">
        <v>90.3</v>
      </c>
      <c r="J18" s="497">
        <v>90</v>
      </c>
      <c r="K18" s="497">
        <v>91.8</v>
      </c>
      <c r="L18" s="497">
        <v>21.6</v>
      </c>
      <c r="M18" s="497">
        <v>90.5</v>
      </c>
      <c r="N18" s="497">
        <v>91.4</v>
      </c>
      <c r="O18" s="497">
        <v>91.9</v>
      </c>
      <c r="P18" s="133">
        <v>91</v>
      </c>
      <c r="Q18" s="497">
        <v>91</v>
      </c>
      <c r="R18" s="497">
        <v>89.2</v>
      </c>
      <c r="S18" s="497">
        <v>22.1</v>
      </c>
      <c r="T18" s="497">
        <v>90.8</v>
      </c>
      <c r="U18" s="497">
        <v>89.8</v>
      </c>
      <c r="V18" s="498">
        <v>91</v>
      </c>
      <c r="W18" s="596">
        <f t="shared" ref="W18:W23" si="0">SUM(B18:V18)</f>
        <v>1661</v>
      </c>
    </row>
    <row r="19" spans="1:25" ht="39.950000000000003" customHeight="1" x14ac:dyDescent="0.25">
      <c r="A19" s="146" t="s">
        <v>24</v>
      </c>
      <c r="B19" s="133">
        <v>86</v>
      </c>
      <c r="C19" s="497">
        <v>83.8</v>
      </c>
      <c r="D19" s="497">
        <v>84.8</v>
      </c>
      <c r="E19" s="497">
        <v>16.8</v>
      </c>
      <c r="F19" s="497">
        <v>86</v>
      </c>
      <c r="G19" s="497">
        <v>84.8</v>
      </c>
      <c r="H19" s="498">
        <v>86.4</v>
      </c>
      <c r="I19" s="126">
        <v>90.4</v>
      </c>
      <c r="J19" s="497">
        <v>90</v>
      </c>
      <c r="K19" s="497">
        <v>91.8</v>
      </c>
      <c r="L19" s="497">
        <v>21.4</v>
      </c>
      <c r="M19" s="497">
        <v>90.4</v>
      </c>
      <c r="N19" s="497">
        <v>91.4</v>
      </c>
      <c r="O19" s="497">
        <v>91.8</v>
      </c>
      <c r="P19" s="133">
        <v>91</v>
      </c>
      <c r="Q19" s="497">
        <v>91</v>
      </c>
      <c r="R19" s="497">
        <v>89.2</v>
      </c>
      <c r="S19" s="497">
        <v>22.1</v>
      </c>
      <c r="T19" s="497">
        <v>90.8</v>
      </c>
      <c r="U19" s="497">
        <v>89.8</v>
      </c>
      <c r="V19" s="498">
        <v>91</v>
      </c>
      <c r="W19" s="538">
        <f t="shared" ref="W19" si="1">SUM(B19:V19)</f>
        <v>1660.6999999999998</v>
      </c>
    </row>
    <row r="20" spans="1:25" ht="39.75" customHeight="1" x14ac:dyDescent="0.25">
      <c r="A20" s="146" t="s">
        <v>20</v>
      </c>
      <c r="B20" s="133">
        <v>86</v>
      </c>
      <c r="C20" s="497">
        <v>85</v>
      </c>
      <c r="D20" s="497">
        <v>84.8</v>
      </c>
      <c r="E20" s="497">
        <v>19.5</v>
      </c>
      <c r="F20" s="497">
        <v>85.8</v>
      </c>
      <c r="G20" s="497">
        <v>84.8</v>
      </c>
      <c r="H20" s="498">
        <v>86.4</v>
      </c>
      <c r="I20" s="126">
        <v>90</v>
      </c>
      <c r="J20" s="497">
        <v>90</v>
      </c>
      <c r="K20" s="497">
        <v>91.8</v>
      </c>
      <c r="L20" s="497">
        <v>21.4</v>
      </c>
      <c r="M20" s="497">
        <v>90.4</v>
      </c>
      <c r="N20" s="497">
        <v>91.2</v>
      </c>
      <c r="O20" s="497">
        <v>91.8</v>
      </c>
      <c r="P20" s="133">
        <v>91</v>
      </c>
      <c r="Q20" s="497">
        <v>91</v>
      </c>
      <c r="R20" s="497">
        <v>89.2</v>
      </c>
      <c r="S20" s="497">
        <v>22.1</v>
      </c>
      <c r="T20" s="497">
        <v>90.8</v>
      </c>
      <c r="U20" s="497">
        <v>90</v>
      </c>
      <c r="V20" s="498">
        <v>91</v>
      </c>
      <c r="W20" s="538">
        <f t="shared" si="0"/>
        <v>1664</v>
      </c>
    </row>
    <row r="21" spans="1:25" ht="39.950000000000003" customHeight="1" x14ac:dyDescent="0.25">
      <c r="A21" s="146" t="s">
        <v>28</v>
      </c>
      <c r="B21" s="133">
        <v>85.9</v>
      </c>
      <c r="C21" s="497">
        <v>84.9</v>
      </c>
      <c r="D21" s="497">
        <v>84.7</v>
      </c>
      <c r="E21" s="497">
        <v>19.399999999999999</v>
      </c>
      <c r="F21" s="497">
        <v>85.8</v>
      </c>
      <c r="G21" s="497">
        <v>84.8</v>
      </c>
      <c r="H21" s="498">
        <v>86.4</v>
      </c>
      <c r="I21" s="126">
        <v>90</v>
      </c>
      <c r="J21" s="497">
        <v>90</v>
      </c>
      <c r="K21" s="497">
        <v>91.8</v>
      </c>
      <c r="L21" s="497">
        <v>21.4</v>
      </c>
      <c r="M21" s="497">
        <v>90.4</v>
      </c>
      <c r="N21" s="497">
        <v>91.2</v>
      </c>
      <c r="O21" s="497">
        <v>91.8</v>
      </c>
      <c r="P21" s="133">
        <v>91</v>
      </c>
      <c r="Q21" s="497">
        <v>91</v>
      </c>
      <c r="R21" s="497">
        <v>89.2</v>
      </c>
      <c r="S21" s="497">
        <v>22.1</v>
      </c>
      <c r="T21" s="497">
        <v>90.8</v>
      </c>
      <c r="U21" s="497">
        <v>90</v>
      </c>
      <c r="V21" s="498">
        <v>91</v>
      </c>
      <c r="W21" s="538">
        <f t="shared" si="0"/>
        <v>1663.6</v>
      </c>
    </row>
    <row r="22" spans="1:25" ht="39.950000000000003" customHeight="1" x14ac:dyDescent="0.25">
      <c r="A22" s="146" t="s">
        <v>21</v>
      </c>
      <c r="B22" s="133">
        <v>85.9</v>
      </c>
      <c r="C22" s="497">
        <v>85</v>
      </c>
      <c r="D22" s="497">
        <v>84.8</v>
      </c>
      <c r="E22" s="497">
        <v>19.600000000000001</v>
      </c>
      <c r="F22" s="497">
        <v>85.6</v>
      </c>
      <c r="G22" s="497">
        <v>84.5</v>
      </c>
      <c r="H22" s="498">
        <v>86.5</v>
      </c>
      <c r="I22" s="126">
        <v>89.6</v>
      </c>
      <c r="J22" s="497">
        <v>90.1</v>
      </c>
      <c r="K22" s="497">
        <v>92</v>
      </c>
      <c r="L22" s="497">
        <v>21.4</v>
      </c>
      <c r="M22" s="497">
        <v>90.3</v>
      </c>
      <c r="N22" s="497">
        <v>91</v>
      </c>
      <c r="O22" s="497">
        <v>92</v>
      </c>
      <c r="P22" s="133">
        <v>91</v>
      </c>
      <c r="Q22" s="497">
        <v>91</v>
      </c>
      <c r="R22" s="497">
        <v>91.2</v>
      </c>
      <c r="S22" s="497">
        <v>22.2</v>
      </c>
      <c r="T22" s="497">
        <v>90.5</v>
      </c>
      <c r="U22" s="497">
        <v>90.2</v>
      </c>
      <c r="V22" s="498">
        <v>91.2</v>
      </c>
      <c r="W22" s="538">
        <f t="shared" si="0"/>
        <v>1665.6000000000001</v>
      </c>
    </row>
    <row r="23" spans="1:25" ht="39.950000000000003" customHeight="1" x14ac:dyDescent="0.25">
      <c r="A23" s="146" t="s">
        <v>22</v>
      </c>
      <c r="B23" s="133">
        <v>85.8</v>
      </c>
      <c r="C23" s="497">
        <v>84.9</v>
      </c>
      <c r="D23" s="497">
        <v>84.8</v>
      </c>
      <c r="E23" s="497">
        <v>19.600000000000001</v>
      </c>
      <c r="F23" s="497">
        <v>85.5</v>
      </c>
      <c r="G23" s="497">
        <v>84.5</v>
      </c>
      <c r="H23" s="498">
        <v>86.5</v>
      </c>
      <c r="I23" s="126">
        <v>89.6</v>
      </c>
      <c r="J23" s="497">
        <v>90.1</v>
      </c>
      <c r="K23" s="497">
        <v>92</v>
      </c>
      <c r="L23" s="497">
        <v>21.1</v>
      </c>
      <c r="M23" s="497">
        <v>90.3</v>
      </c>
      <c r="N23" s="497">
        <v>90.9</v>
      </c>
      <c r="O23" s="497">
        <v>92</v>
      </c>
      <c r="P23" s="133">
        <v>91</v>
      </c>
      <c r="Q23" s="497">
        <v>91</v>
      </c>
      <c r="R23" s="497">
        <v>91.2</v>
      </c>
      <c r="S23" s="497">
        <v>22.2</v>
      </c>
      <c r="T23" s="497">
        <v>90.5</v>
      </c>
      <c r="U23" s="497">
        <v>90.2</v>
      </c>
      <c r="V23" s="498">
        <v>91.2</v>
      </c>
      <c r="W23" s="538">
        <f t="shared" si="0"/>
        <v>1664.9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84.8</v>
      </c>
      <c r="D24" s="497">
        <v>84.8</v>
      </c>
      <c r="E24" s="497">
        <v>19.600000000000001</v>
      </c>
      <c r="F24" s="497">
        <v>85.4</v>
      </c>
      <c r="G24" s="497">
        <v>84.5</v>
      </c>
      <c r="H24" s="498">
        <v>86.5</v>
      </c>
      <c r="I24" s="126">
        <v>89.6</v>
      </c>
      <c r="J24" s="497">
        <v>89.8</v>
      </c>
      <c r="K24" s="497">
        <v>92</v>
      </c>
      <c r="L24" s="497">
        <v>21.1</v>
      </c>
      <c r="M24" s="497">
        <v>90.3</v>
      </c>
      <c r="N24" s="497">
        <v>90.8</v>
      </c>
      <c r="O24" s="497">
        <v>92</v>
      </c>
      <c r="P24" s="133">
        <v>91</v>
      </c>
      <c r="Q24" s="497">
        <v>91</v>
      </c>
      <c r="R24" s="497">
        <v>91.2</v>
      </c>
      <c r="S24" s="497">
        <v>22.2</v>
      </c>
      <c r="T24" s="497">
        <v>90.5</v>
      </c>
      <c r="U24" s="497">
        <v>90.2</v>
      </c>
      <c r="V24" s="498">
        <v>91.2</v>
      </c>
      <c r="W24" s="538">
        <f>SUM(B24:V24)</f>
        <v>1664.2000000000003</v>
      </c>
    </row>
    <row r="25" spans="1:25" ht="41.45" customHeight="1" x14ac:dyDescent="0.25">
      <c r="A25" s="182" t="s">
        <v>9</v>
      </c>
      <c r="B25" s="122">
        <f>SUM(B18:B24)</f>
        <v>601.29999999999995</v>
      </c>
      <c r="C25" s="120">
        <f>SUM(C18:C24)</f>
        <v>592.29999999999995</v>
      </c>
      <c r="D25" s="120">
        <f t="shared" ref="D25:V25" si="2">SUM(D18:D24)</f>
        <v>593.4</v>
      </c>
      <c r="E25" s="120">
        <f>SUM(E18:E24)</f>
        <v>131.29999999999998</v>
      </c>
      <c r="F25" s="120">
        <f t="shared" si="2"/>
        <v>600</v>
      </c>
      <c r="G25" s="120">
        <f t="shared" si="2"/>
        <v>592.70000000000005</v>
      </c>
      <c r="H25" s="121">
        <f t="shared" si="2"/>
        <v>605.20000000000005</v>
      </c>
      <c r="I25" s="122">
        <f t="shared" si="2"/>
        <v>629.5</v>
      </c>
      <c r="J25" s="120">
        <f t="shared" si="2"/>
        <v>630</v>
      </c>
      <c r="K25" s="120">
        <f t="shared" si="2"/>
        <v>643.20000000000005</v>
      </c>
      <c r="L25" s="120">
        <f t="shared" si="2"/>
        <v>149.4</v>
      </c>
      <c r="M25" s="120">
        <f t="shared" si="2"/>
        <v>632.6</v>
      </c>
      <c r="N25" s="120">
        <f t="shared" si="2"/>
        <v>637.9</v>
      </c>
      <c r="O25" s="121">
        <f t="shared" si="2"/>
        <v>643.29999999999995</v>
      </c>
      <c r="P25" s="122">
        <f t="shared" si="2"/>
        <v>637</v>
      </c>
      <c r="Q25" s="120">
        <f t="shared" si="2"/>
        <v>637</v>
      </c>
      <c r="R25" s="120">
        <f t="shared" si="2"/>
        <v>630.40000000000009</v>
      </c>
      <c r="S25" s="120">
        <f>SUM(S18:S24)</f>
        <v>155</v>
      </c>
      <c r="T25" s="120">
        <f t="shared" si="2"/>
        <v>634.70000000000005</v>
      </c>
      <c r="U25" s="120">
        <f t="shared" si="2"/>
        <v>630.20000000000005</v>
      </c>
      <c r="V25" s="121">
        <f t="shared" si="2"/>
        <v>637.6</v>
      </c>
      <c r="W25" s="361">
        <f>SUM(W18:W24)</f>
        <v>11644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154.23537982647858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548</v>
      </c>
      <c r="D27" s="27">
        <v>551</v>
      </c>
      <c r="E27" s="27">
        <v>117</v>
      </c>
      <c r="F27" s="27">
        <v>554</v>
      </c>
      <c r="G27" s="27">
        <v>549</v>
      </c>
      <c r="H27" s="28">
        <v>561</v>
      </c>
      <c r="I27" s="26">
        <v>582</v>
      </c>
      <c r="J27" s="27">
        <v>583</v>
      </c>
      <c r="K27" s="27">
        <v>596</v>
      </c>
      <c r="L27" s="27">
        <v>137</v>
      </c>
      <c r="M27" s="27">
        <v>587</v>
      </c>
      <c r="N27" s="27">
        <v>591</v>
      </c>
      <c r="O27" s="28">
        <v>597</v>
      </c>
      <c r="P27" s="26">
        <v>591</v>
      </c>
      <c r="Q27" s="27">
        <v>590</v>
      </c>
      <c r="R27" s="27">
        <v>584</v>
      </c>
      <c r="S27" s="27">
        <v>144</v>
      </c>
      <c r="T27" s="27">
        <v>589</v>
      </c>
      <c r="U27" s="27">
        <v>585</v>
      </c>
      <c r="V27" s="28">
        <v>592</v>
      </c>
      <c r="W27" s="29">
        <f>SUM(B27:V27)</f>
        <v>10785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85.642411999999851</v>
      </c>
      <c r="C28" s="30">
        <f t="shared" si="3"/>
        <v>84.562767999999863</v>
      </c>
      <c r="D28" s="30">
        <f t="shared" si="3"/>
        <v>84.84931599999986</v>
      </c>
      <c r="E28" s="30">
        <f t="shared" si="3"/>
        <v>18.495371999999968</v>
      </c>
      <c r="F28" s="30">
        <f t="shared" si="3"/>
        <v>85.015863999999851</v>
      </c>
      <c r="G28" s="30">
        <f t="shared" si="3"/>
        <v>84.398283999999833</v>
      </c>
      <c r="H28" s="30">
        <f t="shared" si="3"/>
        <v>86.324475999999848</v>
      </c>
      <c r="I28" s="30">
        <f t="shared" si="3"/>
        <v>89.29031199999983</v>
      </c>
      <c r="J28" s="30">
        <f t="shared" si="3"/>
        <v>89.645827999999852</v>
      </c>
      <c r="K28" s="30">
        <f t="shared" si="3"/>
        <v>91.727535999999844</v>
      </c>
      <c r="L28" s="30">
        <f t="shared" si="3"/>
        <v>20.925691999999962</v>
      </c>
      <c r="M28" s="30">
        <f t="shared" si="3"/>
        <v>90.327891999999835</v>
      </c>
      <c r="N28" s="30">
        <f t="shared" si="3"/>
        <v>90.809955999999829</v>
      </c>
      <c r="O28" s="30">
        <f t="shared" si="3"/>
        <v>91.923051999999842</v>
      </c>
      <c r="P28" s="30">
        <f t="shared" si="3"/>
        <v>90.969955999999826</v>
      </c>
      <c r="Q28" s="30">
        <f t="shared" si="3"/>
        <v>90.754439999999818</v>
      </c>
      <c r="R28" s="30">
        <f t="shared" si="3"/>
        <v>90.181343999999825</v>
      </c>
      <c r="S28" s="30">
        <f t="shared" si="3"/>
        <v>22.19430399999996</v>
      </c>
      <c r="T28" s="30">
        <f t="shared" si="3"/>
        <v>90.618923999999851</v>
      </c>
      <c r="U28" s="30">
        <f t="shared" si="3"/>
        <v>90.156859999999838</v>
      </c>
      <c r="V28" s="30">
        <f t="shared" si="3"/>
        <v>91.185471999999848</v>
      </c>
      <c r="W28" s="362">
        <f>((W25*1000)/7)/W27</f>
        <v>154.23537982647858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590.51383999999928</v>
      </c>
      <c r="D29" s="282">
        <f t="shared" ref="D29:V29" si="4">((D27*D26)*7)/1000</f>
        <v>593.7465799999992</v>
      </c>
      <c r="E29" s="282">
        <f t="shared" si="4"/>
        <v>126.07685999999984</v>
      </c>
      <c r="F29" s="282">
        <f t="shared" si="4"/>
        <v>596.97931999999923</v>
      </c>
      <c r="G29" s="282">
        <f t="shared" si="4"/>
        <v>591.59141999999918</v>
      </c>
      <c r="H29" s="284">
        <f t="shared" si="4"/>
        <v>604.5223799999992</v>
      </c>
      <c r="I29" s="281">
        <f t="shared" si="4"/>
        <v>627.15155999999922</v>
      </c>
      <c r="J29" s="282">
        <f t="shared" si="4"/>
        <v>628.22913999999923</v>
      </c>
      <c r="K29" s="282">
        <f t="shared" si="4"/>
        <v>642.23767999999916</v>
      </c>
      <c r="L29" s="282">
        <f t="shared" si="4"/>
        <v>147.62845999999982</v>
      </c>
      <c r="M29" s="282">
        <f t="shared" si="4"/>
        <v>632.53945999999917</v>
      </c>
      <c r="N29" s="282">
        <f t="shared" si="4"/>
        <v>636.8497799999991</v>
      </c>
      <c r="O29" s="284">
        <f t="shared" si="4"/>
        <v>643.31525999999906</v>
      </c>
      <c r="P29" s="281">
        <f t="shared" si="4"/>
        <v>636.8497799999991</v>
      </c>
      <c r="Q29" s="282">
        <f t="shared" si="4"/>
        <v>635.77219999999909</v>
      </c>
      <c r="R29" s="282">
        <f t="shared" si="4"/>
        <v>629.30671999999913</v>
      </c>
      <c r="S29" s="282">
        <f t="shared" si="4"/>
        <v>155.17151999999979</v>
      </c>
      <c r="T29" s="282">
        <f t="shared" si="4"/>
        <v>634.69461999999919</v>
      </c>
      <c r="U29" s="282">
        <f t="shared" si="4"/>
        <v>630.38429999999914</v>
      </c>
      <c r="V29" s="284">
        <f t="shared" si="4"/>
        <v>637.92735999999923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154.2190305206463</v>
      </c>
      <c r="C30" s="38">
        <f t="shared" ref="C30:V30" si="5">+(C25/C27)/7*1000</f>
        <v>154.40563086548485</v>
      </c>
      <c r="D30" s="38">
        <f t="shared" si="5"/>
        <v>153.850142597874</v>
      </c>
      <c r="E30" s="38">
        <f t="shared" si="5"/>
        <v>160.31746031746027</v>
      </c>
      <c r="F30" s="38">
        <f t="shared" si="5"/>
        <v>154.71892728210418</v>
      </c>
      <c r="G30" s="38">
        <f t="shared" si="5"/>
        <v>154.22846734322147</v>
      </c>
      <c r="H30" s="39">
        <f t="shared" si="5"/>
        <v>154.11255411255411</v>
      </c>
      <c r="I30" s="37">
        <f t="shared" si="5"/>
        <v>154.51644575355914</v>
      </c>
      <c r="J30" s="38">
        <f t="shared" si="5"/>
        <v>154.3739279588336</v>
      </c>
      <c r="K30" s="38">
        <f t="shared" si="5"/>
        <v>154.17066155321191</v>
      </c>
      <c r="L30" s="38">
        <f t="shared" si="5"/>
        <v>155.78727841501563</v>
      </c>
      <c r="M30" s="38">
        <f t="shared" si="5"/>
        <v>153.9547335118034</v>
      </c>
      <c r="N30" s="38">
        <f t="shared" si="5"/>
        <v>154.19386028523084</v>
      </c>
      <c r="O30" s="39">
        <f t="shared" si="5"/>
        <v>153.93634840871022</v>
      </c>
      <c r="P30" s="37">
        <f t="shared" si="5"/>
        <v>153.97631133671743</v>
      </c>
      <c r="Q30" s="38">
        <f t="shared" si="5"/>
        <v>154.23728813559319</v>
      </c>
      <c r="R30" s="38">
        <f t="shared" si="5"/>
        <v>154.20743639921724</v>
      </c>
      <c r="S30" s="38">
        <f t="shared" si="5"/>
        <v>153.76984126984124</v>
      </c>
      <c r="T30" s="38">
        <f t="shared" si="5"/>
        <v>153.94130487509096</v>
      </c>
      <c r="U30" s="38">
        <f t="shared" si="5"/>
        <v>153.89499389499389</v>
      </c>
      <c r="V30" s="39">
        <f t="shared" si="5"/>
        <v>153.86100386100384</v>
      </c>
      <c r="W30" s="40"/>
    </row>
    <row r="31" spans="1:25" ht="33.75" customHeight="1" x14ac:dyDescent="0.25">
      <c r="A31" s="41"/>
      <c r="B31" s="645">
        <f t="shared" ref="B31:V32" si="6">B29-B25</f>
        <v>-1.0879400000006854</v>
      </c>
      <c r="C31" s="645">
        <f t="shared" si="6"/>
        <v>-1.7861600000006774</v>
      </c>
      <c r="D31" s="645">
        <f t="shared" si="6"/>
        <v>0.3465799999992214</v>
      </c>
      <c r="E31" s="645">
        <f t="shared" si="6"/>
        <v>-5.2231400000001429</v>
      </c>
      <c r="F31" s="645">
        <f t="shared" si="6"/>
        <v>-3.0206800000007661</v>
      </c>
      <c r="G31" s="645">
        <f t="shared" si="6"/>
        <v>-1.1085800000008703</v>
      </c>
      <c r="H31" s="645">
        <f t="shared" si="6"/>
        <v>-0.67762000000084299</v>
      </c>
      <c r="I31" s="645">
        <f t="shared" si="6"/>
        <v>-2.3484400000007781</v>
      </c>
      <c r="J31" s="645">
        <f t="shared" si="6"/>
        <v>-1.7708600000007664</v>
      </c>
      <c r="K31" s="645">
        <f t="shared" si="6"/>
        <v>-0.96232000000088647</v>
      </c>
      <c r="L31" s="645">
        <f t="shared" si="6"/>
        <v>-1.7715400000001864</v>
      </c>
      <c r="M31" s="645">
        <f t="shared" si="6"/>
        <v>-6.0540000000855798E-2</v>
      </c>
      <c r="N31" s="645">
        <f t="shared" si="6"/>
        <v>-1.050220000000877</v>
      </c>
      <c r="O31" s="645">
        <f t="shared" si="6"/>
        <v>1.5259999999102547E-2</v>
      </c>
      <c r="P31" s="645">
        <f t="shared" si="6"/>
        <v>-0.15022000000089974</v>
      </c>
      <c r="Q31" s="645">
        <f t="shared" si="6"/>
        <v>-1.2278000000009115</v>
      </c>
      <c r="R31" s="645">
        <f t="shared" si="6"/>
        <v>-1.0932800000009593</v>
      </c>
      <c r="S31" s="645">
        <f t="shared" si="6"/>
        <v>0.17151999999978784</v>
      </c>
      <c r="T31" s="645">
        <f t="shared" si="6"/>
        <v>-5.3800000008550342E-3</v>
      </c>
      <c r="U31" s="645">
        <f t="shared" si="6"/>
        <v>0.18429999999909796</v>
      </c>
      <c r="V31" s="645">
        <f t="shared" si="6"/>
        <v>0.32735999999920296</v>
      </c>
      <c r="W31" s="42"/>
      <c r="X31" s="42"/>
    </row>
    <row r="32" spans="1:25" ht="33.75" customHeight="1" x14ac:dyDescent="0.25">
      <c r="A32" s="41"/>
      <c r="B32" s="42">
        <f>B30-B26</f>
        <v>0.27903052064650069</v>
      </c>
      <c r="C32" s="42">
        <f t="shared" si="6"/>
        <v>0.46563086548505339</v>
      </c>
      <c r="D32" s="42">
        <f t="shared" si="6"/>
        <v>-8.98574021258014E-2</v>
      </c>
      <c r="E32" s="42">
        <f t="shared" si="6"/>
        <v>6.3774603174604749</v>
      </c>
      <c r="F32" s="42">
        <f t="shared" si="6"/>
        <v>0.77892728210437667</v>
      </c>
      <c r="G32" s="42">
        <f t="shared" si="6"/>
        <v>0.28846734322166867</v>
      </c>
      <c r="H32" s="42">
        <f t="shared" si="6"/>
        <v>0.17255411255430886</v>
      </c>
      <c r="I32" s="42">
        <f t="shared" si="6"/>
        <v>0.5764457535593408</v>
      </c>
      <c r="J32" s="42">
        <f t="shared" si="6"/>
        <v>0.43392795883380586</v>
      </c>
      <c r="K32" s="42">
        <f t="shared" si="6"/>
        <v>0.23066155321211568</v>
      </c>
      <c r="L32" s="42">
        <f t="shared" si="6"/>
        <v>1.8472784150158361</v>
      </c>
      <c r="M32" s="42">
        <f t="shared" si="6"/>
        <v>1.4733511803598276E-2</v>
      </c>
      <c r="N32" s="42">
        <f t="shared" si="6"/>
        <v>0.25386028523104187</v>
      </c>
      <c r="O32" s="42">
        <f t="shared" si="6"/>
        <v>-3.6515912895822566E-3</v>
      </c>
      <c r="P32" s="42">
        <f t="shared" si="6"/>
        <v>3.6311336717631093E-2</v>
      </c>
      <c r="Q32" s="42">
        <f>Q30-Q26</f>
        <v>0.29728813559339073</v>
      </c>
      <c r="R32" s="42">
        <f t="shared" si="6"/>
        <v>0.26743639921744489</v>
      </c>
      <c r="S32" s="42">
        <f t="shared" si="6"/>
        <v>-0.17015873015856187</v>
      </c>
      <c r="T32" s="42">
        <f t="shared" si="6"/>
        <v>1.3048750911650586E-3</v>
      </c>
      <c r="U32" s="42">
        <f t="shared" si="6"/>
        <v>-4.5006105005910513E-2</v>
      </c>
      <c r="V32" s="42">
        <f t="shared" si="6"/>
        <v>-7.8996138995961473E-2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5" t="s">
        <v>8</v>
      </c>
      <c r="P36" s="1036"/>
      <c r="Q36" s="1036"/>
      <c r="R36" s="1036"/>
      <c r="S36" s="1036"/>
      <c r="T36" s="1036"/>
      <c r="U36" s="1036"/>
      <c r="V36" s="1033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79.3</v>
      </c>
      <c r="C39" s="497">
        <v>76.900000000000006</v>
      </c>
      <c r="D39" s="497">
        <v>10.7</v>
      </c>
      <c r="E39" s="497">
        <v>84.7</v>
      </c>
      <c r="F39" s="497">
        <v>84.9</v>
      </c>
      <c r="G39" s="498">
        <v>84.1</v>
      </c>
      <c r="H39" s="540">
        <f t="shared" ref="H39:H46" si="7">SUM(B39:G39)</f>
        <v>420.6</v>
      </c>
      <c r="I39" s="49"/>
      <c r="J39" s="42"/>
      <c r="K39" s="42"/>
      <c r="L39" s="42"/>
      <c r="M39" s="2"/>
      <c r="N39" s="146" t="s">
        <v>51</v>
      </c>
      <c r="O39" s="650">
        <v>5.8</v>
      </c>
      <c r="P39" s="651">
        <v>5.7</v>
      </c>
      <c r="Q39" s="651">
        <v>0.8</v>
      </c>
      <c r="R39" s="651">
        <v>6.3</v>
      </c>
      <c r="S39" s="651">
        <v>6.3</v>
      </c>
      <c r="T39" s="651">
        <v>6.4</v>
      </c>
      <c r="U39" s="644">
        <v>2.7</v>
      </c>
      <c r="V39" s="663">
        <f>SUM(O39:U39)</f>
        <v>34.000000000000007</v>
      </c>
      <c r="W39" s="137">
        <f>V39-U39</f>
        <v>31.300000000000008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79.2</v>
      </c>
      <c r="C40" s="497">
        <v>76.8</v>
      </c>
      <c r="D40" s="497">
        <v>10.7</v>
      </c>
      <c r="E40" s="497">
        <v>84.8</v>
      </c>
      <c r="F40" s="497">
        <v>84.8</v>
      </c>
      <c r="G40" s="498">
        <v>84</v>
      </c>
      <c r="H40" s="539">
        <f t="shared" si="7"/>
        <v>420.3</v>
      </c>
      <c r="I40" s="309"/>
      <c r="J40" s="42"/>
      <c r="K40" s="42"/>
      <c r="L40" s="42"/>
      <c r="M40" s="2"/>
      <c r="N40" s="146" t="s">
        <v>24</v>
      </c>
      <c r="O40" s="650">
        <v>5.8</v>
      </c>
      <c r="P40" s="651">
        <v>5.7</v>
      </c>
      <c r="Q40" s="651">
        <v>0.8</v>
      </c>
      <c r="R40" s="651">
        <v>6.3</v>
      </c>
      <c r="S40" s="651">
        <v>6.3</v>
      </c>
      <c r="T40" s="651">
        <v>6.4</v>
      </c>
      <c r="U40" s="644">
        <v>2.7</v>
      </c>
      <c r="V40" s="543">
        <f t="shared" ref="V40:V45" si="8">SUM(O40:U40)</f>
        <v>34.000000000000007</v>
      </c>
      <c r="W40" s="137">
        <f t="shared" ref="W40:W45" si="9">V40-U40</f>
        <v>31.300000000000008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79.2</v>
      </c>
      <c r="C41" s="497">
        <v>78.2</v>
      </c>
      <c r="D41" s="497">
        <v>10.7</v>
      </c>
      <c r="E41" s="497">
        <v>84.8</v>
      </c>
      <c r="F41" s="497">
        <v>84.8</v>
      </c>
      <c r="G41" s="498">
        <v>85.2</v>
      </c>
      <c r="H41" s="539">
        <f t="shared" si="7"/>
        <v>422.9</v>
      </c>
      <c r="I41" s="49"/>
      <c r="J41" s="196"/>
      <c r="K41" s="196"/>
      <c r="L41" s="196"/>
      <c r="M41" s="2"/>
      <c r="N41" s="146" t="s">
        <v>20</v>
      </c>
      <c r="O41" s="650">
        <v>5.5</v>
      </c>
      <c r="P41" s="651">
        <v>5.7</v>
      </c>
      <c r="Q41" s="651">
        <v>0.8</v>
      </c>
      <c r="R41" s="651">
        <v>6.3</v>
      </c>
      <c r="S41" s="651">
        <v>6.3</v>
      </c>
      <c r="T41" s="651">
        <v>6.3</v>
      </c>
      <c r="U41" s="644">
        <v>2.4</v>
      </c>
      <c r="V41" s="543">
        <f t="shared" si="8"/>
        <v>33.300000000000004</v>
      </c>
      <c r="W41" s="137">
        <f t="shared" si="9"/>
        <v>30.900000000000006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79.2</v>
      </c>
      <c r="C42" s="497">
        <v>78.2</v>
      </c>
      <c r="D42" s="497">
        <v>10.7</v>
      </c>
      <c r="E42" s="497">
        <v>84.8</v>
      </c>
      <c r="F42" s="497">
        <v>84.8</v>
      </c>
      <c r="G42" s="498">
        <v>85.2</v>
      </c>
      <c r="H42" s="539">
        <f t="shared" si="7"/>
        <v>422.9</v>
      </c>
      <c r="I42" s="49"/>
      <c r="J42" s="2"/>
      <c r="K42" s="2"/>
      <c r="L42" s="2"/>
      <c r="M42" s="2"/>
      <c r="N42" s="146" t="s">
        <v>28</v>
      </c>
      <c r="O42" s="650">
        <v>5.5</v>
      </c>
      <c r="P42" s="651">
        <v>5.7</v>
      </c>
      <c r="Q42" s="651">
        <v>0.7</v>
      </c>
      <c r="R42" s="651">
        <v>6.3</v>
      </c>
      <c r="S42" s="651">
        <v>6.3</v>
      </c>
      <c r="T42" s="651">
        <v>6.3</v>
      </c>
      <c r="U42" s="644">
        <v>2.4</v>
      </c>
      <c r="V42" s="98">
        <f t="shared" si="8"/>
        <v>33.200000000000003</v>
      </c>
      <c r="W42" s="137">
        <f t="shared" si="9"/>
        <v>30.800000000000004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79.8</v>
      </c>
      <c r="C43" s="497">
        <v>79.2</v>
      </c>
      <c r="D43" s="497">
        <v>11.1</v>
      </c>
      <c r="E43" s="497">
        <v>85.7</v>
      </c>
      <c r="F43" s="497">
        <v>84.9</v>
      </c>
      <c r="G43" s="498">
        <v>86.2</v>
      </c>
      <c r="H43" s="539">
        <f t="shared" si="7"/>
        <v>426.90000000000003</v>
      </c>
      <c r="I43" s="49"/>
      <c r="J43" s="222"/>
      <c r="K43" s="222"/>
      <c r="L43" s="222"/>
      <c r="M43" s="2"/>
      <c r="N43" s="146" t="s">
        <v>21</v>
      </c>
      <c r="O43" s="650">
        <v>5.5</v>
      </c>
      <c r="P43" s="651">
        <v>5.7</v>
      </c>
      <c r="Q43" s="651">
        <v>0.8</v>
      </c>
      <c r="R43" s="651">
        <v>6.3</v>
      </c>
      <c r="S43" s="651">
        <v>6.3</v>
      </c>
      <c r="T43" s="651">
        <v>6.3</v>
      </c>
      <c r="U43" s="644">
        <v>2.4</v>
      </c>
      <c r="V43" s="98">
        <f t="shared" si="8"/>
        <v>33.300000000000004</v>
      </c>
      <c r="W43" s="137">
        <f t="shared" si="9"/>
        <v>30.900000000000006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79.8</v>
      </c>
      <c r="C44" s="497">
        <v>79.2</v>
      </c>
      <c r="D44" s="497">
        <v>11.1</v>
      </c>
      <c r="E44" s="497">
        <v>85.7</v>
      </c>
      <c r="F44" s="497">
        <v>84.6</v>
      </c>
      <c r="G44" s="498">
        <v>86.1</v>
      </c>
      <c r="H44" s="539">
        <f t="shared" si="7"/>
        <v>426.5</v>
      </c>
      <c r="I44" s="49"/>
      <c r="J44" s="43"/>
      <c r="K44" s="43"/>
      <c r="L44" s="43"/>
      <c r="M44" s="2"/>
      <c r="N44" s="146" t="s">
        <v>22</v>
      </c>
      <c r="O44" s="650">
        <v>5.5</v>
      </c>
      <c r="P44" s="651">
        <v>5.7</v>
      </c>
      <c r="Q44" s="651">
        <v>0.8</v>
      </c>
      <c r="R44" s="651">
        <v>6.3</v>
      </c>
      <c r="S44" s="651">
        <v>6.3</v>
      </c>
      <c r="T44" s="651">
        <v>6.3</v>
      </c>
      <c r="U44" s="644">
        <v>2.4</v>
      </c>
      <c r="V44" s="98">
        <f t="shared" si="8"/>
        <v>33.300000000000004</v>
      </c>
      <c r="W44" s="137">
        <f t="shared" si="9"/>
        <v>30.900000000000006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79.8</v>
      </c>
      <c r="C45" s="497">
        <v>79.2</v>
      </c>
      <c r="D45" s="497">
        <v>11.1</v>
      </c>
      <c r="E45" s="497">
        <v>85.7</v>
      </c>
      <c r="F45" s="497">
        <v>84.6</v>
      </c>
      <c r="G45" s="498">
        <v>86</v>
      </c>
      <c r="H45" s="562">
        <f t="shared" si="7"/>
        <v>426.4</v>
      </c>
      <c r="I45" s="559"/>
      <c r="J45" s="41"/>
      <c r="K45" s="41"/>
      <c r="L45" s="41"/>
      <c r="M45" s="2"/>
      <c r="N45" s="146" t="s">
        <v>23</v>
      </c>
      <c r="O45" s="650">
        <v>5.5</v>
      </c>
      <c r="P45" s="651">
        <v>5.7</v>
      </c>
      <c r="Q45" s="651">
        <v>0.8</v>
      </c>
      <c r="R45" s="651">
        <v>6.3</v>
      </c>
      <c r="S45" s="651">
        <v>6.3</v>
      </c>
      <c r="T45" s="651">
        <v>6.3</v>
      </c>
      <c r="U45" s="644">
        <v>2.4</v>
      </c>
      <c r="V45" s="98">
        <f t="shared" si="8"/>
        <v>33.300000000000004</v>
      </c>
      <c r="W45" s="137">
        <f t="shared" si="9"/>
        <v>30.900000000000006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556.29999999999995</v>
      </c>
      <c r="C46" s="611">
        <f t="shared" si="10"/>
        <v>547.69999999999993</v>
      </c>
      <c r="D46" s="611">
        <f>SUM(D39:D45)</f>
        <v>76.099999999999994</v>
      </c>
      <c r="E46" s="611">
        <f t="shared" si="10"/>
        <v>596.20000000000005</v>
      </c>
      <c r="F46" s="611">
        <f t="shared" si="10"/>
        <v>593.40000000000009</v>
      </c>
      <c r="G46" s="612">
        <f t="shared" si="10"/>
        <v>596.79999999999995</v>
      </c>
      <c r="H46" s="560">
        <f t="shared" si="7"/>
        <v>2966.5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39.1</v>
      </c>
      <c r="P46" s="120">
        <f t="shared" si="11"/>
        <v>39.900000000000006</v>
      </c>
      <c r="Q46" s="120">
        <f t="shared" si="11"/>
        <v>5.5</v>
      </c>
      <c r="R46" s="120">
        <f t="shared" si="11"/>
        <v>44.099999999999994</v>
      </c>
      <c r="S46" s="120">
        <f t="shared" si="11"/>
        <v>44.099999999999994</v>
      </c>
      <c r="T46" s="120">
        <f t="shared" si="11"/>
        <v>44.3</v>
      </c>
      <c r="U46" s="121">
        <f t="shared" si="11"/>
        <v>17.400000000000002</v>
      </c>
      <c r="V46" s="361">
        <f>SUM(O46:U46)</f>
        <v>234.4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154.44085797584339</v>
      </c>
      <c r="I47" s="559"/>
      <c r="J47" s="49"/>
      <c r="K47" s="49"/>
      <c r="L47" s="49"/>
      <c r="N47" s="453" t="s">
        <v>11</v>
      </c>
      <c r="O47" s="23">
        <v>151.5</v>
      </c>
      <c r="P47" s="24">
        <v>151.5</v>
      </c>
      <c r="Q47" s="24">
        <v>156</v>
      </c>
      <c r="R47" s="24">
        <v>154.5</v>
      </c>
      <c r="S47" s="24">
        <v>154.5</v>
      </c>
      <c r="T47" s="24">
        <v>156</v>
      </c>
      <c r="U47" s="25">
        <v>156</v>
      </c>
      <c r="V47" s="128">
        <f>+((V46/V48)/7)*1000</f>
        <v>155.02645502645504</v>
      </c>
      <c r="W47" s="50"/>
      <c r="Y47" s="14"/>
      <c r="Z47" s="243"/>
    </row>
    <row r="48" spans="1:27" ht="33.75" customHeight="1" x14ac:dyDescent="0.25">
      <c r="A48" s="149" t="s">
        <v>12</v>
      </c>
      <c r="B48" s="26">
        <v>518</v>
      </c>
      <c r="C48" s="27">
        <v>499</v>
      </c>
      <c r="D48" s="27">
        <v>65</v>
      </c>
      <c r="E48" s="27">
        <v>555</v>
      </c>
      <c r="F48" s="27">
        <v>551</v>
      </c>
      <c r="G48" s="28">
        <v>556</v>
      </c>
      <c r="H48" s="129">
        <f>SUM(B48:G48)</f>
        <v>2744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>
        <f>SUM(O48:U48)</f>
        <v>216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79.371631999999977</v>
      </c>
      <c r="C49" s="31">
        <f t="shared" si="12"/>
        <v>76.257575999999986</v>
      </c>
      <c r="D49" s="31">
        <f t="shared" si="12"/>
        <v>9.6575599999999948</v>
      </c>
      <c r="E49" s="31">
        <f t="shared" si="12"/>
        <v>85.105320000000006</v>
      </c>
      <c r="F49" s="31">
        <f t="shared" si="12"/>
        <v>84.207623999999996</v>
      </c>
      <c r="G49" s="32">
        <f t="shared" si="12"/>
        <v>85.599743999999987</v>
      </c>
      <c r="H49" s="130">
        <f>((H46*1000)/H48)/7</f>
        <v>154.44085797584339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5.5277000000000012</v>
      </c>
      <c r="P49" s="30">
        <f t="shared" si="13"/>
        <v>5.7797999999999998</v>
      </c>
      <c r="Q49" s="30">
        <f t="shared" si="13"/>
        <v>0.55360000000000009</v>
      </c>
      <c r="R49" s="30">
        <f t="shared" si="13"/>
        <v>6.3483000000000009</v>
      </c>
      <c r="S49" s="30">
        <f t="shared" si="13"/>
        <v>6.3483000000000009</v>
      </c>
      <c r="T49" s="30">
        <f t="shared" si="13"/>
        <v>6.1760000000000002</v>
      </c>
      <c r="U49" s="356">
        <f t="shared" si="13"/>
        <v>2.1960000000000002</v>
      </c>
      <c r="V49" s="454">
        <f>((V46*1000)/V48)/7</f>
        <v>155.02645502645504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555.35816</v>
      </c>
      <c r="C50" s="282">
        <f t="shared" ref="C50:G50" si="14">((C48*C47)*7)/1000</f>
        <v>534.98788000000002</v>
      </c>
      <c r="D50" s="282">
        <f t="shared" si="14"/>
        <v>69.68780000000001</v>
      </c>
      <c r="E50" s="282">
        <f t="shared" si="14"/>
        <v>595.02660000000003</v>
      </c>
      <c r="F50" s="282">
        <f t="shared" si="14"/>
        <v>590.73811999999998</v>
      </c>
      <c r="G50" s="284">
        <f t="shared" si="14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39.238500000000002</v>
      </c>
      <c r="P50" s="282">
        <f t="shared" si="15"/>
        <v>40.298999999999999</v>
      </c>
      <c r="Q50" s="282">
        <f t="shared" si="15"/>
        <v>4.3680000000000003</v>
      </c>
      <c r="R50" s="282">
        <f t="shared" si="15"/>
        <v>44.341500000000003</v>
      </c>
      <c r="S50" s="282">
        <f t="shared" si="15"/>
        <v>44.341500000000003</v>
      </c>
      <c r="T50" s="282">
        <f t="shared" si="15"/>
        <v>43.68</v>
      </c>
      <c r="U50" s="284">
        <f t="shared" si="15"/>
        <v>16.38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153.41974627688913</v>
      </c>
      <c r="C51" s="38">
        <f t="shared" si="16"/>
        <v>156.79931291153733</v>
      </c>
      <c r="D51" s="38">
        <f t="shared" si="16"/>
        <v>167.25274725274724</v>
      </c>
      <c r="E51" s="38">
        <f t="shared" si="16"/>
        <v>153.4620334620335</v>
      </c>
      <c r="F51" s="38">
        <f t="shared" si="16"/>
        <v>153.85014259787403</v>
      </c>
      <c r="G51" s="39">
        <f t="shared" si="16"/>
        <v>153.34018499486123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150.96525096525099</v>
      </c>
      <c r="P51" s="38">
        <f t="shared" si="17"/>
        <v>150</v>
      </c>
      <c r="Q51" s="38">
        <f t="shared" si="17"/>
        <v>196.42857142857142</v>
      </c>
      <c r="R51" s="38">
        <f t="shared" si="17"/>
        <v>153.65853658536582</v>
      </c>
      <c r="S51" s="38">
        <f t="shared" si="17"/>
        <v>153.65853658536582</v>
      </c>
      <c r="T51" s="38">
        <f t="shared" si="17"/>
        <v>158.21428571428569</v>
      </c>
      <c r="U51" s="39">
        <f t="shared" si="17"/>
        <v>165.71428571428572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18">B50-B46</f>
        <v>-0.94183999999995649</v>
      </c>
      <c r="C52" s="645">
        <f t="shared" si="18"/>
        <v>-12.712119999999913</v>
      </c>
      <c r="D52" s="645">
        <f t="shared" si="18"/>
        <v>-6.4121999999999844</v>
      </c>
      <c r="E52" s="645">
        <f t="shared" si="18"/>
        <v>-1.1734000000000151</v>
      </c>
      <c r="F52" s="645">
        <f t="shared" si="18"/>
        <v>-2.6618800000001102</v>
      </c>
      <c r="G52" s="645">
        <f t="shared" si="18"/>
        <v>-0.70127999999999702</v>
      </c>
      <c r="H52" s="41"/>
      <c r="I52" s="45"/>
      <c r="J52" s="45"/>
      <c r="K52" s="56"/>
      <c r="L52" s="41"/>
      <c r="M52" s="41"/>
      <c r="N52" s="42"/>
      <c r="O52" s="645">
        <f t="shared" ref="O52:U53" si="19">O50-O46</f>
        <v>0.13850000000000051</v>
      </c>
      <c r="P52" s="645">
        <f t="shared" si="19"/>
        <v>0.3989999999999938</v>
      </c>
      <c r="Q52" s="645">
        <f t="shared" si="19"/>
        <v>-1.1319999999999997</v>
      </c>
      <c r="R52" s="645">
        <f t="shared" si="19"/>
        <v>0.24150000000000915</v>
      </c>
      <c r="S52" s="645">
        <f t="shared" si="19"/>
        <v>0.24150000000000915</v>
      </c>
      <c r="T52" s="645">
        <f t="shared" si="19"/>
        <v>-0.61999999999999744</v>
      </c>
      <c r="U52" s="645">
        <f t="shared" si="19"/>
        <v>-1.0200000000000031</v>
      </c>
    </row>
    <row r="53" spans="1:27" ht="33.75" customHeight="1" x14ac:dyDescent="0.25">
      <c r="A53" s="41"/>
      <c r="B53" s="42">
        <f>B51-B47</f>
        <v>0.25974627688913188</v>
      </c>
      <c r="C53" s="42">
        <f t="shared" si="18"/>
        <v>3.6393129115373313</v>
      </c>
      <c r="D53" s="42">
        <f t="shared" si="18"/>
        <v>14.092747252747245</v>
      </c>
      <c r="E53" s="42">
        <f t="shared" si="18"/>
        <v>0.30203346203350634</v>
      </c>
      <c r="F53" s="42">
        <f t="shared" si="18"/>
        <v>0.69014259787402921</v>
      </c>
      <c r="G53" s="42">
        <f t="shared" si="18"/>
        <v>0.18018499486123574</v>
      </c>
      <c r="I53" s="2"/>
      <c r="J53" s="2"/>
      <c r="K53" s="45"/>
      <c r="L53" s="41"/>
      <c r="M53" s="42"/>
      <c r="N53" s="42"/>
      <c r="O53" s="42">
        <f t="shared" si="19"/>
        <v>-0.53474903474901225</v>
      </c>
      <c r="P53" s="42">
        <f t="shared" si="19"/>
        <v>-1.5</v>
      </c>
      <c r="Q53" s="42">
        <f t="shared" si="19"/>
        <v>40.428571428571416</v>
      </c>
      <c r="R53" s="42">
        <f t="shared" si="19"/>
        <v>-0.84146341463417684</v>
      </c>
      <c r="S53" s="42">
        <f t="shared" si="19"/>
        <v>-0.84146341463417684</v>
      </c>
      <c r="T53" s="42">
        <f t="shared" si="19"/>
        <v>2.214285714285694</v>
      </c>
      <c r="U53" s="42">
        <f t="shared" si="19"/>
        <v>9.7142857142857224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5"/>
      <c r="P57" s="620" t="s">
        <v>126</v>
      </c>
      <c r="Q57" s="1051" t="s">
        <v>8</v>
      </c>
      <c r="R57" s="1052"/>
      <c r="S57" s="1052"/>
      <c r="T57" s="1052"/>
      <c r="U57" s="1052"/>
      <c r="V57" s="1052"/>
      <c r="W57" s="1053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6.6</v>
      </c>
      <c r="D60" s="497">
        <v>6.8</v>
      </c>
      <c r="E60" s="497">
        <v>1.7</v>
      </c>
      <c r="F60" s="497">
        <v>6.9</v>
      </c>
      <c r="G60" s="497">
        <v>6.9</v>
      </c>
      <c r="H60" s="653">
        <v>6.9</v>
      </c>
      <c r="I60" s="133">
        <v>7</v>
      </c>
      <c r="J60" s="646">
        <v>7</v>
      </c>
      <c r="K60" s="497">
        <v>7.1</v>
      </c>
      <c r="L60" s="646">
        <v>1.7</v>
      </c>
      <c r="M60" s="646">
        <v>6.9</v>
      </c>
      <c r="N60" s="497">
        <v>7</v>
      </c>
      <c r="O60" s="654">
        <v>6.9</v>
      </c>
      <c r="P60" s="655">
        <v>7.5</v>
      </c>
      <c r="Q60" s="656">
        <v>7.1</v>
      </c>
      <c r="R60" s="657">
        <v>7</v>
      </c>
      <c r="S60" s="657">
        <v>7</v>
      </c>
      <c r="T60" s="657">
        <v>1.8</v>
      </c>
      <c r="U60" s="657">
        <v>6.9</v>
      </c>
      <c r="V60" s="657">
        <v>7.1</v>
      </c>
      <c r="W60" s="658">
        <v>7.2</v>
      </c>
      <c r="X60" s="655">
        <v>5</v>
      </c>
      <c r="Y60" s="263">
        <f t="shared" ref="Y60:Y66" si="20">SUM(B60:X60)</f>
        <v>142.79999999999998</v>
      </c>
      <c r="Z60" s="643">
        <f>Y60-X60-P60</f>
        <v>130.29999999999998</v>
      </c>
      <c r="AA60" s="643">
        <f>X60+P60</f>
        <v>12.5</v>
      </c>
    </row>
    <row r="61" spans="1:27" ht="33.75" customHeight="1" x14ac:dyDescent="0.25">
      <c r="A61" s="146" t="s">
        <v>24</v>
      </c>
      <c r="B61" s="133">
        <v>6.8</v>
      </c>
      <c r="C61" s="497">
        <v>6.6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646">
        <v>7</v>
      </c>
      <c r="K61" s="497">
        <v>7.1</v>
      </c>
      <c r="L61" s="646">
        <v>1.7</v>
      </c>
      <c r="M61" s="646">
        <v>6.9</v>
      </c>
      <c r="N61" s="497">
        <v>7</v>
      </c>
      <c r="O61" s="654">
        <v>6.9</v>
      </c>
      <c r="P61" s="659">
        <v>7.5</v>
      </c>
      <c r="Q61" s="660">
        <v>7.1</v>
      </c>
      <c r="R61" s="646">
        <v>7</v>
      </c>
      <c r="S61" s="646">
        <v>7</v>
      </c>
      <c r="T61" s="646">
        <v>1.8</v>
      </c>
      <c r="U61" s="646">
        <v>6.9</v>
      </c>
      <c r="V61" s="646">
        <v>7.1</v>
      </c>
      <c r="W61" s="654">
        <v>7.2</v>
      </c>
      <c r="X61" s="659">
        <v>5</v>
      </c>
      <c r="Y61" s="263">
        <f t="shared" si="20"/>
        <v>142.79999999999998</v>
      </c>
      <c r="Z61" s="643">
        <f t="shared" ref="Z61:Z66" si="21">Y61-X61-P61</f>
        <v>130.29999999999998</v>
      </c>
      <c r="AA61" s="643">
        <f t="shared" ref="AA61:AA66" si="22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6.6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646">
        <v>7</v>
      </c>
      <c r="K62" s="497">
        <v>7.1</v>
      </c>
      <c r="L62" s="646">
        <v>1.7</v>
      </c>
      <c r="M62" s="646">
        <v>6.9</v>
      </c>
      <c r="N62" s="497">
        <v>7.1</v>
      </c>
      <c r="O62" s="654">
        <v>6.9</v>
      </c>
      <c r="P62" s="659">
        <v>7.6</v>
      </c>
      <c r="Q62" s="660">
        <v>7.1</v>
      </c>
      <c r="R62" s="646">
        <v>7.1</v>
      </c>
      <c r="S62" s="646">
        <v>7</v>
      </c>
      <c r="T62" s="646">
        <v>1.8</v>
      </c>
      <c r="U62" s="646">
        <v>6.9</v>
      </c>
      <c r="V62" s="646">
        <v>7.1</v>
      </c>
      <c r="W62" s="654">
        <v>7.2</v>
      </c>
      <c r="X62" s="659">
        <v>5</v>
      </c>
      <c r="Y62" s="263">
        <f t="shared" si="20"/>
        <v>143.09999999999997</v>
      </c>
      <c r="Z62" s="643">
        <f t="shared" si="21"/>
        <v>130.49999999999997</v>
      </c>
      <c r="AA62" s="643">
        <f t="shared" si="22"/>
        <v>12.6</v>
      </c>
    </row>
    <row r="63" spans="1:27" ht="33.75" customHeight="1" x14ac:dyDescent="0.25">
      <c r="A63" s="146" t="s">
        <v>28</v>
      </c>
      <c r="B63" s="133">
        <v>6.8</v>
      </c>
      <c r="C63" s="497">
        <v>6.7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646">
        <v>7</v>
      </c>
      <c r="K63" s="497">
        <v>7.1</v>
      </c>
      <c r="L63" s="646">
        <v>1.7</v>
      </c>
      <c r="M63" s="646">
        <v>7</v>
      </c>
      <c r="N63" s="497">
        <v>7.1</v>
      </c>
      <c r="O63" s="654">
        <v>6.9</v>
      </c>
      <c r="P63" s="659">
        <v>7.6</v>
      </c>
      <c r="Q63" s="660">
        <v>7.1</v>
      </c>
      <c r="R63" s="646">
        <v>7.1</v>
      </c>
      <c r="S63" s="646">
        <v>7</v>
      </c>
      <c r="T63" s="646">
        <v>1.6</v>
      </c>
      <c r="U63" s="646">
        <v>7</v>
      </c>
      <c r="V63" s="646">
        <v>7.1</v>
      </c>
      <c r="W63" s="654">
        <v>7.2</v>
      </c>
      <c r="X63" s="659">
        <v>5.0999999999999996</v>
      </c>
      <c r="Y63" s="263">
        <f t="shared" si="20"/>
        <v>143.39999999999995</v>
      </c>
      <c r="Z63" s="643">
        <f t="shared" si="21"/>
        <v>130.69999999999996</v>
      </c>
      <c r="AA63" s="643">
        <f t="shared" si="22"/>
        <v>12.7</v>
      </c>
    </row>
    <row r="64" spans="1:27" ht="33.75" customHeight="1" x14ac:dyDescent="0.25">
      <c r="A64" s="146" t="s">
        <v>21</v>
      </c>
      <c r="B64" s="133">
        <v>6.8</v>
      </c>
      <c r="C64" s="497">
        <v>6.7</v>
      </c>
      <c r="D64" s="497">
        <v>6.8</v>
      </c>
      <c r="E64" s="497">
        <v>1.8</v>
      </c>
      <c r="F64" s="497">
        <v>7</v>
      </c>
      <c r="G64" s="497">
        <v>6.9</v>
      </c>
      <c r="H64" s="653">
        <v>6.9</v>
      </c>
      <c r="I64" s="133">
        <v>7</v>
      </c>
      <c r="J64" s="646">
        <v>7</v>
      </c>
      <c r="K64" s="497">
        <v>7.1</v>
      </c>
      <c r="L64" s="646">
        <v>1.8</v>
      </c>
      <c r="M64" s="646">
        <v>7</v>
      </c>
      <c r="N64" s="497">
        <v>7.1</v>
      </c>
      <c r="O64" s="654">
        <v>6.9</v>
      </c>
      <c r="P64" s="659">
        <v>7.6</v>
      </c>
      <c r="Q64" s="660">
        <v>7.1</v>
      </c>
      <c r="R64" s="646">
        <v>7.1</v>
      </c>
      <c r="S64" s="646">
        <v>6.9</v>
      </c>
      <c r="T64" s="646">
        <v>1.7</v>
      </c>
      <c r="U64" s="646">
        <v>7</v>
      </c>
      <c r="V64" s="646">
        <v>7</v>
      </c>
      <c r="W64" s="654">
        <v>7.2</v>
      </c>
      <c r="X64" s="659">
        <v>5.0999999999999996</v>
      </c>
      <c r="Y64" s="263">
        <f t="shared" si="20"/>
        <v>143.49999999999997</v>
      </c>
      <c r="Z64" s="643">
        <f t="shared" si="21"/>
        <v>130.79999999999998</v>
      </c>
      <c r="AA64" s="643">
        <f t="shared" si="22"/>
        <v>12.7</v>
      </c>
    </row>
    <row r="65" spans="1:27" ht="33.75" customHeight="1" x14ac:dyDescent="0.25">
      <c r="A65" s="146" t="s">
        <v>22</v>
      </c>
      <c r="B65" s="133">
        <v>6.8</v>
      </c>
      <c r="C65" s="497">
        <v>6.7</v>
      </c>
      <c r="D65" s="497">
        <v>6.8</v>
      </c>
      <c r="E65" s="497">
        <v>1.8</v>
      </c>
      <c r="F65" s="497">
        <v>7</v>
      </c>
      <c r="G65" s="497">
        <v>6.9</v>
      </c>
      <c r="H65" s="653">
        <v>6.9</v>
      </c>
      <c r="I65" s="133">
        <v>7</v>
      </c>
      <c r="J65" s="646">
        <v>7</v>
      </c>
      <c r="K65" s="497">
        <v>7.2</v>
      </c>
      <c r="L65" s="646">
        <v>1.8</v>
      </c>
      <c r="M65" s="646">
        <v>7</v>
      </c>
      <c r="N65" s="497">
        <v>7.1</v>
      </c>
      <c r="O65" s="654">
        <v>6.9</v>
      </c>
      <c r="P65" s="659">
        <v>7.6</v>
      </c>
      <c r="Q65" s="660">
        <v>7.1</v>
      </c>
      <c r="R65" s="646">
        <v>7.1</v>
      </c>
      <c r="S65" s="646">
        <v>6.9</v>
      </c>
      <c r="T65" s="646">
        <v>1.7</v>
      </c>
      <c r="U65" s="646">
        <v>7</v>
      </c>
      <c r="V65" s="646">
        <v>7</v>
      </c>
      <c r="W65" s="654">
        <v>7.2</v>
      </c>
      <c r="X65" s="659">
        <v>5.0999999999999996</v>
      </c>
      <c r="Y65" s="263">
        <f t="shared" si="20"/>
        <v>143.59999999999997</v>
      </c>
      <c r="Z65" s="643">
        <f t="shared" si="21"/>
        <v>130.89999999999998</v>
      </c>
      <c r="AA65" s="643">
        <f t="shared" si="22"/>
        <v>12.7</v>
      </c>
    </row>
    <row r="66" spans="1:27" ht="33.75" customHeight="1" thickBot="1" x14ac:dyDescent="0.3">
      <c r="A66" s="146" t="s">
        <v>23</v>
      </c>
      <c r="B66" s="133">
        <v>6.8</v>
      </c>
      <c r="C66" s="497">
        <v>6.7</v>
      </c>
      <c r="D66" s="497">
        <v>6.8</v>
      </c>
      <c r="E66" s="497">
        <v>1.8</v>
      </c>
      <c r="F66" s="497">
        <v>7</v>
      </c>
      <c r="G66" s="497">
        <v>6.9</v>
      </c>
      <c r="H66" s="653">
        <v>6.9</v>
      </c>
      <c r="I66" s="133">
        <v>7</v>
      </c>
      <c r="J66" s="646">
        <v>7</v>
      </c>
      <c r="K66" s="497">
        <v>7.2</v>
      </c>
      <c r="L66" s="646">
        <v>1.8</v>
      </c>
      <c r="M66" s="646">
        <v>7</v>
      </c>
      <c r="N66" s="497">
        <v>7.1</v>
      </c>
      <c r="O66" s="654">
        <v>7</v>
      </c>
      <c r="P66" s="659">
        <v>7.8</v>
      </c>
      <c r="Q66" s="660">
        <v>7.1</v>
      </c>
      <c r="R66" s="646">
        <v>7.1</v>
      </c>
      <c r="S66" s="646">
        <v>6.9</v>
      </c>
      <c r="T66" s="646">
        <v>1.7</v>
      </c>
      <c r="U66" s="646">
        <v>7</v>
      </c>
      <c r="V66" s="646">
        <v>7</v>
      </c>
      <c r="W66" s="654">
        <v>7.2</v>
      </c>
      <c r="X66" s="659">
        <v>5.0999999999999996</v>
      </c>
      <c r="Y66" s="263">
        <f t="shared" si="20"/>
        <v>143.89999999999995</v>
      </c>
      <c r="Z66" s="643">
        <f t="shared" si="21"/>
        <v>130.99999999999994</v>
      </c>
      <c r="AA66" s="643">
        <f t="shared" si="22"/>
        <v>12.899999999999999</v>
      </c>
    </row>
    <row r="67" spans="1:27" ht="33.75" customHeight="1" x14ac:dyDescent="0.25">
      <c r="A67" s="182" t="s">
        <v>9</v>
      </c>
      <c r="B67" s="122">
        <f>SUM(B60:B66)</f>
        <v>47.599999999999994</v>
      </c>
      <c r="C67" s="120">
        <f>SUM(C60:C66)</f>
        <v>46.6</v>
      </c>
      <c r="D67" s="120">
        <f t="shared" ref="D67:X67" si="23">SUM(D60:D66)</f>
        <v>47.599999999999994</v>
      </c>
      <c r="E67" s="120">
        <f t="shared" si="23"/>
        <v>12.200000000000001</v>
      </c>
      <c r="F67" s="120">
        <f t="shared" si="23"/>
        <v>48.7</v>
      </c>
      <c r="G67" s="120">
        <f t="shared" si="23"/>
        <v>48.3</v>
      </c>
      <c r="H67" s="121">
        <f t="shared" si="23"/>
        <v>48.3</v>
      </c>
      <c r="I67" s="119">
        <f t="shared" si="23"/>
        <v>49</v>
      </c>
      <c r="J67" s="120">
        <f t="shared" si="23"/>
        <v>49</v>
      </c>
      <c r="K67" s="120">
        <f t="shared" si="23"/>
        <v>49.900000000000006</v>
      </c>
      <c r="L67" s="120">
        <f t="shared" si="23"/>
        <v>12.200000000000001</v>
      </c>
      <c r="M67" s="120">
        <f t="shared" si="23"/>
        <v>48.7</v>
      </c>
      <c r="N67" s="120">
        <f t="shared" si="23"/>
        <v>49.500000000000007</v>
      </c>
      <c r="O67" s="268">
        <f t="shared" si="23"/>
        <v>48.4</v>
      </c>
      <c r="P67" s="639">
        <f t="shared" si="23"/>
        <v>53.2</v>
      </c>
      <c r="Q67" s="119">
        <f t="shared" si="23"/>
        <v>49.7</v>
      </c>
      <c r="R67" s="120">
        <f t="shared" si="23"/>
        <v>49.500000000000007</v>
      </c>
      <c r="S67" s="120">
        <f t="shared" si="23"/>
        <v>48.699999999999996</v>
      </c>
      <c r="T67" s="120">
        <f t="shared" si="23"/>
        <v>12.099999999999998</v>
      </c>
      <c r="U67" s="120">
        <f t="shared" si="23"/>
        <v>48.7</v>
      </c>
      <c r="V67" s="120">
        <f t="shared" si="23"/>
        <v>49.4</v>
      </c>
      <c r="W67" s="268">
        <f t="shared" si="23"/>
        <v>50.400000000000006</v>
      </c>
      <c r="X67" s="639">
        <f t="shared" si="23"/>
        <v>35.400000000000006</v>
      </c>
      <c r="Y67" s="326">
        <f>SUM(Y60:Y66)</f>
        <v>1003.0999999999998</v>
      </c>
      <c r="Z67" s="243"/>
    </row>
    <row r="68" spans="1:27" ht="33.75" customHeight="1" x14ac:dyDescent="0.25">
      <c r="A68" s="148" t="s">
        <v>11</v>
      </c>
      <c r="B68" s="23">
        <v>158.5</v>
      </c>
      <c r="C68" s="24">
        <v>158.5</v>
      </c>
      <c r="D68" s="24">
        <v>158</v>
      </c>
      <c r="E68" s="24">
        <v>158</v>
      </c>
      <c r="F68" s="24">
        <v>158</v>
      </c>
      <c r="G68" s="24">
        <v>157</v>
      </c>
      <c r="H68" s="25">
        <v>157</v>
      </c>
      <c r="I68" s="23">
        <v>159</v>
      </c>
      <c r="J68" s="24">
        <v>159</v>
      </c>
      <c r="K68" s="24">
        <v>158.5</v>
      </c>
      <c r="L68" s="24">
        <v>158.5</v>
      </c>
      <c r="M68" s="24">
        <v>158</v>
      </c>
      <c r="N68" s="24">
        <v>157</v>
      </c>
      <c r="O68" s="155">
        <v>157</v>
      </c>
      <c r="P68" s="70">
        <v>158</v>
      </c>
      <c r="Q68" s="63">
        <v>161</v>
      </c>
      <c r="R68" s="24">
        <v>161</v>
      </c>
      <c r="S68" s="24">
        <v>158</v>
      </c>
      <c r="T68" s="24">
        <v>158</v>
      </c>
      <c r="U68" s="24">
        <v>158</v>
      </c>
      <c r="V68" s="24">
        <v>156.5</v>
      </c>
      <c r="W68" s="155">
        <v>156.5</v>
      </c>
      <c r="X68" s="70">
        <v>158</v>
      </c>
      <c r="Y68" s="327">
        <f>((Y67/Y69)/7)*1000</f>
        <v>158.86917960088689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902</v>
      </c>
      <c r="Z69" s="243"/>
    </row>
    <row r="70" spans="1:27" ht="33.75" customHeight="1" x14ac:dyDescent="0.25">
      <c r="A70" s="150" t="s">
        <v>13</v>
      </c>
      <c r="B70" s="30">
        <f t="shared" ref="B70:X70" si="24">((((B68*7)*B69)/1000-B60-B61)/5)</f>
        <v>6.8217000000000017</v>
      </c>
      <c r="C70" s="30">
        <f t="shared" si="24"/>
        <v>6.4578999999999995</v>
      </c>
      <c r="D70" s="30">
        <f t="shared" si="24"/>
        <v>6.7916000000000007</v>
      </c>
      <c r="E70" s="30">
        <f t="shared" si="24"/>
        <v>1.7532000000000003</v>
      </c>
      <c r="F70" s="30">
        <f t="shared" si="24"/>
        <v>6.9728000000000012</v>
      </c>
      <c r="G70" s="30">
        <f t="shared" si="24"/>
        <v>6.9112000000000009</v>
      </c>
      <c r="H70" s="30">
        <f t="shared" si="24"/>
        <v>6.9112000000000009</v>
      </c>
      <c r="I70" s="30">
        <f t="shared" si="24"/>
        <v>6.9944000000000006</v>
      </c>
      <c r="J70" s="30">
        <f t="shared" si="24"/>
        <v>6.9944000000000006</v>
      </c>
      <c r="K70" s="30">
        <f t="shared" si="24"/>
        <v>7.1455000000000002</v>
      </c>
      <c r="L70" s="30">
        <f t="shared" si="24"/>
        <v>1.7609000000000001</v>
      </c>
      <c r="M70" s="30">
        <f t="shared" si="24"/>
        <v>6.9728000000000012</v>
      </c>
      <c r="N70" s="30">
        <f t="shared" si="24"/>
        <v>7.0909999999999993</v>
      </c>
      <c r="O70" s="30">
        <f t="shared" si="24"/>
        <v>6.9112000000000009</v>
      </c>
      <c r="P70" s="30">
        <f t="shared" si="24"/>
        <v>7.6176000000000004</v>
      </c>
      <c r="Q70" s="30">
        <f t="shared" si="24"/>
        <v>7.0775999999999994</v>
      </c>
      <c r="R70" s="30">
        <f t="shared" si="24"/>
        <v>7.1176000000000004</v>
      </c>
      <c r="S70" s="30">
        <f t="shared" si="24"/>
        <v>6.9328000000000003</v>
      </c>
      <c r="T70" s="30">
        <f t="shared" si="24"/>
        <v>1.492</v>
      </c>
      <c r="U70" s="30">
        <f t="shared" si="24"/>
        <v>6.9728000000000012</v>
      </c>
      <c r="V70" s="30">
        <f t="shared" si="24"/>
        <v>7.019499999999999</v>
      </c>
      <c r="W70" s="30">
        <f t="shared" si="24"/>
        <v>6.7603999999999989</v>
      </c>
      <c r="X70" s="30">
        <f t="shared" si="24"/>
        <v>5.0784000000000002</v>
      </c>
      <c r="Y70" s="329">
        <f>((Y67*1000)/7)/Y69</f>
        <v>158.86917960088689</v>
      </c>
      <c r="Z70" s="243"/>
    </row>
    <row r="71" spans="1:27" ht="33.75" customHeight="1" x14ac:dyDescent="0.25">
      <c r="A71" s="151" t="s">
        <v>14</v>
      </c>
      <c r="B71" s="281">
        <f>((B69*B68)*7)/1000</f>
        <v>47.708500000000001</v>
      </c>
      <c r="C71" s="282">
        <f>((C69*C68)*7)/1000</f>
        <v>45.4895</v>
      </c>
      <c r="D71" s="282">
        <f t="shared" ref="D71:X71" si="25">((D69*D68)*7)/1000</f>
        <v>47.558</v>
      </c>
      <c r="E71" s="282">
        <f t="shared" si="25"/>
        <v>12.166</v>
      </c>
      <c r="F71" s="282">
        <f t="shared" si="25"/>
        <v>48.664000000000001</v>
      </c>
      <c r="G71" s="282">
        <f t="shared" si="25"/>
        <v>48.356000000000002</v>
      </c>
      <c r="H71" s="284">
        <f t="shared" si="25"/>
        <v>48.356000000000002</v>
      </c>
      <c r="I71" s="285">
        <f t="shared" si="25"/>
        <v>48.972000000000001</v>
      </c>
      <c r="J71" s="282">
        <f t="shared" si="25"/>
        <v>48.972000000000001</v>
      </c>
      <c r="K71" s="282">
        <f t="shared" si="25"/>
        <v>49.927500000000002</v>
      </c>
      <c r="L71" s="282">
        <f t="shared" si="25"/>
        <v>12.204499999999999</v>
      </c>
      <c r="M71" s="282">
        <f t="shared" si="25"/>
        <v>48.664000000000001</v>
      </c>
      <c r="N71" s="282">
        <f t="shared" si="25"/>
        <v>49.454999999999998</v>
      </c>
      <c r="O71" s="283">
        <f t="shared" si="25"/>
        <v>48.356000000000002</v>
      </c>
      <c r="P71" s="619">
        <f t="shared" si="25"/>
        <v>53.088000000000001</v>
      </c>
      <c r="Q71" s="285">
        <f t="shared" si="25"/>
        <v>49.588000000000001</v>
      </c>
      <c r="R71" s="282">
        <f t="shared" si="25"/>
        <v>49.588000000000001</v>
      </c>
      <c r="S71" s="282">
        <f t="shared" si="25"/>
        <v>48.664000000000001</v>
      </c>
      <c r="T71" s="282">
        <f t="shared" si="25"/>
        <v>11.06</v>
      </c>
      <c r="U71" s="282">
        <f t="shared" si="25"/>
        <v>48.664000000000001</v>
      </c>
      <c r="V71" s="282">
        <f t="shared" si="25"/>
        <v>49.297499999999999</v>
      </c>
      <c r="W71" s="283">
        <f t="shared" si="25"/>
        <v>48.201999999999998</v>
      </c>
      <c r="X71" s="619">
        <f t="shared" si="25"/>
        <v>35.392000000000003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158.1395348837209</v>
      </c>
      <c r="C72" s="38">
        <f t="shared" ref="C72:X72" si="26">+(C67/C69)/7*1000</f>
        <v>162.3693379790941</v>
      </c>
      <c r="D72" s="38">
        <f t="shared" si="26"/>
        <v>158.1395348837209</v>
      </c>
      <c r="E72" s="38">
        <f>+(E67/E69)/7*1000</f>
        <v>158.44155844155844</v>
      </c>
      <c r="F72" s="38">
        <f t="shared" si="26"/>
        <v>158.11688311688312</v>
      </c>
      <c r="G72" s="38">
        <f t="shared" si="26"/>
        <v>156.81818181818181</v>
      </c>
      <c r="H72" s="39">
        <f t="shared" si="26"/>
        <v>156.81818181818181</v>
      </c>
      <c r="I72" s="67">
        <f t="shared" si="26"/>
        <v>159.09090909090909</v>
      </c>
      <c r="J72" s="38">
        <f t="shared" si="26"/>
        <v>159.09090909090909</v>
      </c>
      <c r="K72" s="38">
        <f t="shared" si="26"/>
        <v>158.41269841269843</v>
      </c>
      <c r="L72" s="38">
        <f t="shared" si="26"/>
        <v>158.44155844155844</v>
      </c>
      <c r="M72" s="38">
        <f t="shared" si="26"/>
        <v>158.11688311688312</v>
      </c>
      <c r="N72" s="38">
        <f t="shared" si="26"/>
        <v>157.14285714285717</v>
      </c>
      <c r="O72" s="158">
        <f t="shared" si="26"/>
        <v>157.14285714285711</v>
      </c>
      <c r="P72" s="255">
        <f t="shared" si="26"/>
        <v>158.33333333333334</v>
      </c>
      <c r="Q72" s="67">
        <f t="shared" si="26"/>
        <v>161.36363636363637</v>
      </c>
      <c r="R72" s="38">
        <f t="shared" si="26"/>
        <v>160.71428571428575</v>
      </c>
      <c r="S72" s="38">
        <f t="shared" si="26"/>
        <v>158.11688311688309</v>
      </c>
      <c r="T72" s="38">
        <f t="shared" si="26"/>
        <v>172.85714285714283</v>
      </c>
      <c r="U72" s="38">
        <f t="shared" si="26"/>
        <v>158.11688311688312</v>
      </c>
      <c r="V72" s="38">
        <f t="shared" si="26"/>
        <v>156.82539682539681</v>
      </c>
      <c r="W72" s="158">
        <f t="shared" si="26"/>
        <v>163.63636363636363</v>
      </c>
      <c r="X72" s="255">
        <f t="shared" si="26"/>
        <v>158.03571428571431</v>
      </c>
      <c r="Y72" s="237"/>
      <c r="Z72" s="243"/>
    </row>
    <row r="73" spans="1:27" ht="33.75" customHeight="1" x14ac:dyDescent="0.25">
      <c r="A73" s="41"/>
      <c r="B73" s="645">
        <f t="shared" ref="B73:X74" si="27">B71-B67</f>
        <v>0.10850000000000648</v>
      </c>
      <c r="C73" s="645">
        <f t="shared" si="27"/>
        <v>-1.1105000000000018</v>
      </c>
      <c r="D73" s="645">
        <f t="shared" si="27"/>
        <v>-4.1999999999994486E-2</v>
      </c>
      <c r="E73" s="645">
        <f t="shared" si="27"/>
        <v>-3.4000000000000696E-2</v>
      </c>
      <c r="F73" s="645">
        <f t="shared" si="27"/>
        <v>-3.6000000000001364E-2</v>
      </c>
      <c r="G73" s="645">
        <f t="shared" si="27"/>
        <v>5.6000000000004491E-2</v>
      </c>
      <c r="H73" s="645">
        <f t="shared" si="27"/>
        <v>5.6000000000004491E-2</v>
      </c>
      <c r="I73" s="645">
        <f t="shared" si="27"/>
        <v>-2.7999999999998693E-2</v>
      </c>
      <c r="J73" s="645">
        <f t="shared" si="27"/>
        <v>-2.7999999999998693E-2</v>
      </c>
      <c r="K73" s="645">
        <f t="shared" si="27"/>
        <v>2.7499999999996305E-2</v>
      </c>
      <c r="L73" s="645">
        <f t="shared" si="27"/>
        <v>4.4999999999983942E-3</v>
      </c>
      <c r="M73" s="645">
        <f t="shared" si="27"/>
        <v>-3.6000000000001364E-2</v>
      </c>
      <c r="N73" s="645">
        <f t="shared" si="27"/>
        <v>-4.5000000000008811E-2</v>
      </c>
      <c r="O73" s="645">
        <f t="shared" si="27"/>
        <v>-4.399999999999693E-2</v>
      </c>
      <c r="P73" s="645">
        <f t="shared" si="27"/>
        <v>-0.11200000000000188</v>
      </c>
      <c r="Q73" s="645">
        <f t="shared" si="27"/>
        <v>-0.11200000000000188</v>
      </c>
      <c r="R73" s="645">
        <f t="shared" si="27"/>
        <v>8.7999999999993861E-2</v>
      </c>
      <c r="S73" s="645">
        <f t="shared" si="27"/>
        <v>-3.5999999999994259E-2</v>
      </c>
      <c r="T73" s="645">
        <f t="shared" si="27"/>
        <v>-1.0399999999999974</v>
      </c>
      <c r="U73" s="645">
        <f t="shared" si="27"/>
        <v>-3.6000000000001364E-2</v>
      </c>
      <c r="V73" s="645">
        <f t="shared" si="27"/>
        <v>-0.10249999999999915</v>
      </c>
      <c r="W73" s="645">
        <f t="shared" si="27"/>
        <v>-2.1980000000000075</v>
      </c>
      <c r="X73" s="645">
        <f t="shared" si="27"/>
        <v>-8.0000000000026716E-3</v>
      </c>
      <c r="Y73" s="14"/>
      <c r="Z73" s="243"/>
    </row>
    <row r="74" spans="1:27" ht="33.75" customHeight="1" x14ac:dyDescent="0.25">
      <c r="A74" s="41"/>
      <c r="B74" s="42">
        <f>B72-B68</f>
        <v>-0.36046511627910149</v>
      </c>
      <c r="C74" s="42">
        <f t="shared" si="27"/>
        <v>3.869337979094098</v>
      </c>
      <c r="D74" s="42">
        <f t="shared" si="27"/>
        <v>0.13953488372089851</v>
      </c>
      <c r="E74" s="42">
        <f t="shared" si="27"/>
        <v>0.44155844155844193</v>
      </c>
      <c r="F74" s="42">
        <f t="shared" si="27"/>
        <v>0.11688311688311614</v>
      </c>
      <c r="G74" s="42">
        <f t="shared" si="27"/>
        <v>-0.18181818181818699</v>
      </c>
      <c r="H74" s="42">
        <f t="shared" si="27"/>
        <v>-0.18181818181818699</v>
      </c>
      <c r="I74" s="42">
        <f t="shared" si="27"/>
        <v>9.0909090909093493E-2</v>
      </c>
      <c r="J74" s="42">
        <f t="shared" si="27"/>
        <v>9.0909090909093493E-2</v>
      </c>
      <c r="K74" s="42">
        <f t="shared" si="27"/>
        <v>-8.7301587301567452E-2</v>
      </c>
      <c r="L74" s="42">
        <f t="shared" si="27"/>
        <v>-5.8441558441558072E-2</v>
      </c>
      <c r="M74" s="42">
        <f t="shared" si="27"/>
        <v>0.11688311688311614</v>
      </c>
      <c r="N74" s="42">
        <f t="shared" si="27"/>
        <v>0.14285714285716722</v>
      </c>
      <c r="O74" s="42">
        <f t="shared" si="27"/>
        <v>0.14285714285711038</v>
      </c>
      <c r="P74" s="42">
        <f t="shared" si="27"/>
        <v>0.33333333333334281</v>
      </c>
      <c r="Q74" s="42">
        <f t="shared" si="27"/>
        <v>0.36363636363637397</v>
      </c>
      <c r="R74" s="42">
        <f>R72-R68</f>
        <v>-0.28571428571424917</v>
      </c>
      <c r="S74" s="42">
        <f t="shared" si="27"/>
        <v>0.11688311688308772</v>
      </c>
      <c r="T74" s="42">
        <f t="shared" si="27"/>
        <v>14.857142857142833</v>
      </c>
      <c r="U74" s="42">
        <f t="shared" si="27"/>
        <v>0.11688311688311614</v>
      </c>
      <c r="V74" s="42">
        <f t="shared" si="27"/>
        <v>0.32539682539680825</v>
      </c>
      <c r="W74" s="42">
        <f t="shared" si="27"/>
        <v>7.136363636363626</v>
      </c>
      <c r="X74" s="42">
        <f t="shared" si="27"/>
        <v>3.5714285714306016E-2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3"/>
  <dimension ref="A1:AA237"/>
  <sheetViews>
    <sheetView topLeftCell="A37" zoomScale="25" zoomScaleNormal="25" workbookViewId="0">
      <selection activeCell="V48" sqref="V4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53</v>
      </c>
      <c r="Q11" s="1022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85.7</v>
      </c>
      <c r="C18" s="497">
        <v>84.8</v>
      </c>
      <c r="D18" s="497">
        <v>84.8</v>
      </c>
      <c r="E18" s="497">
        <v>19.600000000000001</v>
      </c>
      <c r="F18" s="497">
        <v>85.4</v>
      </c>
      <c r="G18" s="497">
        <v>84.5</v>
      </c>
      <c r="H18" s="498">
        <v>86.5</v>
      </c>
      <c r="I18" s="126">
        <v>89.6</v>
      </c>
      <c r="J18" s="497">
        <v>89.8</v>
      </c>
      <c r="K18" s="497">
        <v>92</v>
      </c>
      <c r="L18" s="497">
        <v>21.1</v>
      </c>
      <c r="M18" s="497">
        <v>90.3</v>
      </c>
      <c r="N18" s="497">
        <v>90.8</v>
      </c>
      <c r="O18" s="497">
        <v>92</v>
      </c>
      <c r="P18" s="133">
        <v>91</v>
      </c>
      <c r="Q18" s="497">
        <v>91</v>
      </c>
      <c r="R18" s="497">
        <v>91.2</v>
      </c>
      <c r="S18" s="497">
        <v>22.2</v>
      </c>
      <c r="T18" s="497">
        <v>90.5</v>
      </c>
      <c r="U18" s="497">
        <v>90.2</v>
      </c>
      <c r="V18" s="498">
        <v>91.2</v>
      </c>
      <c r="W18" s="596">
        <f t="shared" ref="W18:W23" si="0">SUM(B18:V18)</f>
        <v>1664.2000000000003</v>
      </c>
    </row>
    <row r="19" spans="1:25" ht="39.950000000000003" customHeight="1" x14ac:dyDescent="0.25">
      <c r="A19" s="146" t="s">
        <v>24</v>
      </c>
      <c r="B19" s="133">
        <v>85.7</v>
      </c>
      <c r="C19" s="497">
        <v>84.3</v>
      </c>
      <c r="D19" s="497">
        <v>84.8</v>
      </c>
      <c r="E19" s="497">
        <v>17.7</v>
      </c>
      <c r="F19" s="497">
        <v>85.2</v>
      </c>
      <c r="G19" s="497">
        <v>84.5</v>
      </c>
      <c r="H19" s="498">
        <v>86.5</v>
      </c>
      <c r="I19" s="126">
        <v>89.6</v>
      </c>
      <c r="J19" s="497">
        <v>89.8</v>
      </c>
      <c r="K19" s="497">
        <v>91.7</v>
      </c>
      <c r="L19" s="497">
        <v>21.1</v>
      </c>
      <c r="M19" s="497">
        <v>90.3</v>
      </c>
      <c r="N19" s="497">
        <v>91</v>
      </c>
      <c r="O19" s="497">
        <v>91.9</v>
      </c>
      <c r="P19" s="133">
        <v>91</v>
      </c>
      <c r="Q19" s="497">
        <v>90.8</v>
      </c>
      <c r="R19" s="497">
        <v>89.7</v>
      </c>
      <c r="S19" s="497">
        <v>22.2</v>
      </c>
      <c r="T19" s="497">
        <v>90.7</v>
      </c>
      <c r="U19" s="497">
        <v>90.2</v>
      </c>
      <c r="V19" s="498">
        <v>91.1</v>
      </c>
      <c r="W19" s="538">
        <f t="shared" ref="W19" si="1">SUM(B19:V19)</f>
        <v>1659.8000000000002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84.8</v>
      </c>
      <c r="E20" s="497">
        <v>17.7</v>
      </c>
      <c r="F20" s="497">
        <v>85.2</v>
      </c>
      <c r="G20" s="497">
        <v>84.5</v>
      </c>
      <c r="H20" s="498">
        <v>86.5</v>
      </c>
      <c r="I20" s="126">
        <v>89.6</v>
      </c>
      <c r="J20" s="497">
        <v>89.8</v>
      </c>
      <c r="K20" s="497">
        <v>91.7</v>
      </c>
      <c r="L20" s="497">
        <v>21.1</v>
      </c>
      <c r="M20" s="497">
        <v>90.3</v>
      </c>
      <c r="N20" s="497">
        <v>91</v>
      </c>
      <c r="O20" s="497">
        <v>91.9</v>
      </c>
      <c r="P20" s="133">
        <v>91</v>
      </c>
      <c r="Q20" s="497">
        <v>90.8</v>
      </c>
      <c r="R20" s="497">
        <v>89.7</v>
      </c>
      <c r="S20" s="497">
        <v>22.2</v>
      </c>
      <c r="T20" s="497">
        <v>90.7</v>
      </c>
      <c r="U20" s="497">
        <v>90.2</v>
      </c>
      <c r="V20" s="498">
        <v>91.1</v>
      </c>
      <c r="W20" s="538">
        <f t="shared" si="0"/>
        <v>1659.8000000000002</v>
      </c>
    </row>
    <row r="21" spans="1:25" ht="39.950000000000003" customHeight="1" x14ac:dyDescent="0.25">
      <c r="A21" s="146" t="s">
        <v>28</v>
      </c>
      <c r="B21" s="133">
        <v>85.7</v>
      </c>
      <c r="C21" s="497">
        <v>84.3</v>
      </c>
      <c r="D21" s="497">
        <v>84.3</v>
      </c>
      <c r="E21" s="497">
        <v>17.5</v>
      </c>
      <c r="F21" s="497">
        <v>85.3</v>
      </c>
      <c r="G21" s="497">
        <v>84.5</v>
      </c>
      <c r="H21" s="498">
        <v>86.5</v>
      </c>
      <c r="I21" s="126">
        <v>89.6</v>
      </c>
      <c r="J21" s="497">
        <v>89.7</v>
      </c>
      <c r="K21" s="497">
        <v>91.7</v>
      </c>
      <c r="L21" s="497">
        <v>21.1</v>
      </c>
      <c r="M21" s="497">
        <v>90.4</v>
      </c>
      <c r="N21" s="497">
        <v>91</v>
      </c>
      <c r="O21" s="497">
        <v>91.9</v>
      </c>
      <c r="P21" s="133">
        <v>91</v>
      </c>
      <c r="Q21" s="497">
        <v>90.8</v>
      </c>
      <c r="R21" s="497">
        <v>89.7</v>
      </c>
      <c r="S21" s="497">
        <v>22.2</v>
      </c>
      <c r="T21" s="497">
        <v>90.3</v>
      </c>
      <c r="U21" s="497">
        <v>90.1</v>
      </c>
      <c r="V21" s="498">
        <v>91.1</v>
      </c>
      <c r="W21" s="538">
        <f t="shared" si="0"/>
        <v>1658.7</v>
      </c>
    </row>
    <row r="22" spans="1:25" ht="39.950000000000003" customHeight="1" x14ac:dyDescent="0.25">
      <c r="A22" s="146" t="s">
        <v>21</v>
      </c>
      <c r="B22" s="133">
        <v>85.7</v>
      </c>
      <c r="C22" s="497">
        <v>84.3</v>
      </c>
      <c r="D22" s="497">
        <v>84.3</v>
      </c>
      <c r="E22" s="497">
        <v>17.5</v>
      </c>
      <c r="F22" s="497">
        <v>85.3</v>
      </c>
      <c r="G22" s="497">
        <v>84.5</v>
      </c>
      <c r="H22" s="498">
        <v>86.5</v>
      </c>
      <c r="I22" s="126">
        <v>89.6</v>
      </c>
      <c r="J22" s="497">
        <v>89.7</v>
      </c>
      <c r="K22" s="497">
        <v>91.6</v>
      </c>
      <c r="L22" s="497">
        <v>21</v>
      </c>
      <c r="M22" s="497">
        <v>90.3</v>
      </c>
      <c r="N22" s="497">
        <v>91</v>
      </c>
      <c r="O22" s="497">
        <v>91.8</v>
      </c>
      <c r="P22" s="133">
        <v>91</v>
      </c>
      <c r="Q22" s="497">
        <v>90.8</v>
      </c>
      <c r="R22" s="497">
        <v>89.7</v>
      </c>
      <c r="S22" s="497">
        <v>22.2</v>
      </c>
      <c r="T22" s="497">
        <v>90.3</v>
      </c>
      <c r="U22" s="497">
        <v>90.1</v>
      </c>
      <c r="V22" s="498">
        <v>91.1</v>
      </c>
      <c r="W22" s="538">
        <f t="shared" si="0"/>
        <v>1658.3</v>
      </c>
    </row>
    <row r="23" spans="1:25" ht="39.950000000000003" customHeight="1" x14ac:dyDescent="0.25">
      <c r="A23" s="146" t="s">
        <v>22</v>
      </c>
      <c r="B23" s="133">
        <v>85.7</v>
      </c>
      <c r="C23" s="497">
        <v>84.2</v>
      </c>
      <c r="D23" s="497">
        <v>84.2</v>
      </c>
      <c r="E23" s="497">
        <v>17.5</v>
      </c>
      <c r="F23" s="497">
        <v>85.3</v>
      </c>
      <c r="G23" s="497">
        <v>84.4</v>
      </c>
      <c r="H23" s="498">
        <v>86.5</v>
      </c>
      <c r="I23" s="126">
        <v>89.6</v>
      </c>
      <c r="J23" s="497">
        <v>89.7</v>
      </c>
      <c r="K23" s="497">
        <v>91.5</v>
      </c>
      <c r="L23" s="497">
        <v>20.9</v>
      </c>
      <c r="M23" s="497">
        <v>90.2</v>
      </c>
      <c r="N23" s="497">
        <v>91</v>
      </c>
      <c r="O23" s="497">
        <v>91.8</v>
      </c>
      <c r="P23" s="133">
        <v>91</v>
      </c>
      <c r="Q23" s="497">
        <v>90.8</v>
      </c>
      <c r="R23" s="497">
        <v>89.7</v>
      </c>
      <c r="S23" s="497">
        <v>22.2</v>
      </c>
      <c r="T23" s="497">
        <v>90.3</v>
      </c>
      <c r="U23" s="497">
        <v>90.1</v>
      </c>
      <c r="V23" s="498">
        <v>91.1</v>
      </c>
      <c r="W23" s="538">
        <f t="shared" si="0"/>
        <v>1657.7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84.3</v>
      </c>
      <c r="D24" s="497">
        <v>84.2</v>
      </c>
      <c r="E24" s="497">
        <v>17.5</v>
      </c>
      <c r="F24" s="497">
        <v>85.3</v>
      </c>
      <c r="G24" s="497">
        <v>84.2</v>
      </c>
      <c r="H24" s="498">
        <v>86.4</v>
      </c>
      <c r="I24" s="126">
        <v>89.6</v>
      </c>
      <c r="J24" s="497">
        <v>89.7</v>
      </c>
      <c r="K24" s="497">
        <v>91.5</v>
      </c>
      <c r="L24" s="497">
        <v>20.5</v>
      </c>
      <c r="M24" s="497">
        <v>90.2</v>
      </c>
      <c r="N24" s="497">
        <v>91</v>
      </c>
      <c r="O24" s="497">
        <v>91.8</v>
      </c>
      <c r="P24" s="133">
        <v>91</v>
      </c>
      <c r="Q24" s="497">
        <v>90.7</v>
      </c>
      <c r="R24" s="497">
        <v>89.7</v>
      </c>
      <c r="S24" s="497">
        <v>22.2</v>
      </c>
      <c r="T24" s="497">
        <v>90.3</v>
      </c>
      <c r="U24" s="497">
        <v>90.1</v>
      </c>
      <c r="V24" s="498">
        <v>91.1</v>
      </c>
      <c r="W24" s="98">
        <f>SUM(B24:V24)</f>
        <v>1657</v>
      </c>
    </row>
    <row r="25" spans="1:25" ht="41.45" customHeight="1" x14ac:dyDescent="0.25">
      <c r="A25" s="182" t="s">
        <v>9</v>
      </c>
      <c r="B25" s="122">
        <f>SUM(B18:B24)</f>
        <v>599.90000000000009</v>
      </c>
      <c r="C25" s="120">
        <f>SUM(C18:C24)</f>
        <v>590.5</v>
      </c>
      <c r="D25" s="120">
        <f t="shared" ref="D25:V25" si="2">SUM(D18:D24)</f>
        <v>591.4</v>
      </c>
      <c r="E25" s="120">
        <f>SUM(E18:E24)</f>
        <v>125</v>
      </c>
      <c r="F25" s="120">
        <f t="shared" si="2"/>
        <v>597</v>
      </c>
      <c r="G25" s="120">
        <f t="shared" si="2"/>
        <v>591.1</v>
      </c>
      <c r="H25" s="121">
        <f t="shared" si="2"/>
        <v>605.4</v>
      </c>
      <c r="I25" s="122">
        <f t="shared" si="2"/>
        <v>627.20000000000005</v>
      </c>
      <c r="J25" s="120">
        <f t="shared" si="2"/>
        <v>628.20000000000005</v>
      </c>
      <c r="K25" s="120">
        <f t="shared" si="2"/>
        <v>641.69999999999993</v>
      </c>
      <c r="L25" s="120">
        <f t="shared" si="2"/>
        <v>146.80000000000001</v>
      </c>
      <c r="M25" s="120">
        <f t="shared" si="2"/>
        <v>632</v>
      </c>
      <c r="N25" s="120">
        <f t="shared" si="2"/>
        <v>636.79999999999995</v>
      </c>
      <c r="O25" s="121">
        <f t="shared" si="2"/>
        <v>643.1</v>
      </c>
      <c r="P25" s="122">
        <f t="shared" si="2"/>
        <v>637</v>
      </c>
      <c r="Q25" s="120">
        <f t="shared" si="2"/>
        <v>635.70000000000005</v>
      </c>
      <c r="R25" s="120">
        <f t="shared" si="2"/>
        <v>629.40000000000009</v>
      </c>
      <c r="S25" s="120">
        <f>SUM(S18:S24)</f>
        <v>155.39999999999998</v>
      </c>
      <c r="T25" s="120">
        <f t="shared" si="2"/>
        <v>633.09999999999991</v>
      </c>
      <c r="U25" s="120">
        <f t="shared" si="2"/>
        <v>631.00000000000011</v>
      </c>
      <c r="V25" s="121">
        <f t="shared" si="2"/>
        <v>637.80000000000007</v>
      </c>
      <c r="W25" s="361">
        <f>SUM(W18:W24)</f>
        <v>11615.500000000002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154.31573912927956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547</v>
      </c>
      <c r="D27" s="27">
        <v>548</v>
      </c>
      <c r="E27" s="27">
        <v>114</v>
      </c>
      <c r="F27" s="27">
        <v>554</v>
      </c>
      <c r="G27" s="27">
        <v>546</v>
      </c>
      <c r="H27" s="28">
        <v>560</v>
      </c>
      <c r="I27" s="26">
        <v>581</v>
      </c>
      <c r="J27" s="27">
        <v>583</v>
      </c>
      <c r="K27" s="27">
        <v>594</v>
      </c>
      <c r="L27" s="27">
        <v>132</v>
      </c>
      <c r="M27" s="27">
        <v>584</v>
      </c>
      <c r="N27" s="27">
        <v>590</v>
      </c>
      <c r="O27" s="28">
        <v>595</v>
      </c>
      <c r="P27" s="26">
        <v>591</v>
      </c>
      <c r="Q27" s="27">
        <v>589</v>
      </c>
      <c r="R27" s="27">
        <v>584</v>
      </c>
      <c r="S27" s="27">
        <v>143</v>
      </c>
      <c r="T27" s="27">
        <v>587</v>
      </c>
      <c r="U27" s="27">
        <v>583</v>
      </c>
      <c r="V27" s="28">
        <v>591</v>
      </c>
      <c r="W27" s="29">
        <f>SUM(B27:V27)</f>
        <v>10753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85.762411999999841</v>
      </c>
      <c r="C28" s="30">
        <f t="shared" si="3"/>
        <v>84.067251999999826</v>
      </c>
      <c r="D28" s="30">
        <f t="shared" si="3"/>
        <v>84.182767999999854</v>
      </c>
      <c r="E28" s="30">
        <f t="shared" si="3"/>
        <v>17.108823999999967</v>
      </c>
      <c r="F28" s="30">
        <f t="shared" si="3"/>
        <v>85.275863999999856</v>
      </c>
      <c r="G28" s="30">
        <f t="shared" si="3"/>
        <v>83.871735999999856</v>
      </c>
      <c r="H28" s="30">
        <f t="shared" si="3"/>
        <v>86.088959999999844</v>
      </c>
      <c r="I28" s="30">
        <f t="shared" si="3"/>
        <v>89.374795999999833</v>
      </c>
      <c r="J28" s="30">
        <f t="shared" si="3"/>
        <v>89.725827999999851</v>
      </c>
      <c r="K28" s="30">
        <f t="shared" si="3"/>
        <v>91.276503999999846</v>
      </c>
      <c r="L28" s="30">
        <f t="shared" si="3"/>
        <v>20.008111999999965</v>
      </c>
      <c r="M28" s="30">
        <f t="shared" si="3"/>
        <v>89.741343999999827</v>
      </c>
      <c r="N28" s="30">
        <f t="shared" si="3"/>
        <v>90.794439999999824</v>
      </c>
      <c r="O28" s="30">
        <f t="shared" si="3"/>
        <v>91.452019999999834</v>
      </c>
      <c r="P28" s="30">
        <f t="shared" si="3"/>
        <v>90.969955999999826</v>
      </c>
      <c r="Q28" s="30">
        <f t="shared" si="3"/>
        <v>90.57892399999983</v>
      </c>
      <c r="R28" s="30">
        <f t="shared" si="3"/>
        <v>89.681343999999825</v>
      </c>
      <c r="S28" s="30">
        <f t="shared" si="3"/>
        <v>21.938787999999963</v>
      </c>
      <c r="T28" s="30">
        <f t="shared" si="3"/>
        <v>90.267891999999833</v>
      </c>
      <c r="U28" s="30">
        <f t="shared" si="3"/>
        <v>89.56582799999984</v>
      </c>
      <c r="V28" s="30">
        <f t="shared" si="3"/>
        <v>90.909955999999809</v>
      </c>
      <c r="W28" s="362">
        <f>((W25*1000)/7)/W27</f>
        <v>154.31573912927956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589.43625999999915</v>
      </c>
      <c r="D29" s="282">
        <f t="shared" ref="D29:V29" si="4">((D27*D26)*7)/1000</f>
        <v>590.51383999999928</v>
      </c>
      <c r="E29" s="282">
        <f t="shared" si="4"/>
        <v>122.84411999999985</v>
      </c>
      <c r="F29" s="282">
        <f t="shared" si="4"/>
        <v>596.97931999999923</v>
      </c>
      <c r="G29" s="282">
        <f t="shared" si="4"/>
        <v>588.35867999999925</v>
      </c>
      <c r="H29" s="284">
        <f t="shared" si="4"/>
        <v>603.44479999999919</v>
      </c>
      <c r="I29" s="281">
        <f t="shared" si="4"/>
        <v>626.07397999999921</v>
      </c>
      <c r="J29" s="282">
        <f t="shared" si="4"/>
        <v>628.22913999999923</v>
      </c>
      <c r="K29" s="282">
        <f t="shared" si="4"/>
        <v>640.08251999999925</v>
      </c>
      <c r="L29" s="282">
        <f t="shared" si="4"/>
        <v>142.24055999999982</v>
      </c>
      <c r="M29" s="282">
        <f t="shared" si="4"/>
        <v>629.30671999999913</v>
      </c>
      <c r="N29" s="282">
        <f t="shared" si="4"/>
        <v>635.77219999999909</v>
      </c>
      <c r="O29" s="284">
        <f t="shared" si="4"/>
        <v>641.16009999999915</v>
      </c>
      <c r="P29" s="281">
        <f t="shared" si="4"/>
        <v>636.8497799999991</v>
      </c>
      <c r="Q29" s="282">
        <f t="shared" si="4"/>
        <v>634.69461999999919</v>
      </c>
      <c r="R29" s="282">
        <f t="shared" si="4"/>
        <v>629.30671999999913</v>
      </c>
      <c r="S29" s="282">
        <f t="shared" si="4"/>
        <v>154.0939399999998</v>
      </c>
      <c r="T29" s="282">
        <f t="shared" si="4"/>
        <v>632.53945999999917</v>
      </c>
      <c r="U29" s="282">
        <f t="shared" si="4"/>
        <v>628.22913999999923</v>
      </c>
      <c r="V29" s="284">
        <f t="shared" si="4"/>
        <v>636.8497799999991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153.85996409335732</v>
      </c>
      <c r="C30" s="38">
        <f t="shared" ref="C30:V30" si="5">+(C25/C27)/7*1000</f>
        <v>154.21781143901802</v>
      </c>
      <c r="D30" s="38">
        <f t="shared" si="5"/>
        <v>154.17101147028154</v>
      </c>
      <c r="E30" s="38">
        <f t="shared" si="5"/>
        <v>156.64160401002508</v>
      </c>
      <c r="F30" s="38">
        <f t="shared" si="5"/>
        <v>153.94533264569367</v>
      </c>
      <c r="G30" s="38">
        <f t="shared" si="5"/>
        <v>154.65724751439038</v>
      </c>
      <c r="H30" s="39">
        <f t="shared" si="5"/>
        <v>154.43877551020407</v>
      </c>
      <c r="I30" s="37">
        <f t="shared" si="5"/>
        <v>154.21686746987953</v>
      </c>
      <c r="J30" s="38">
        <f t="shared" si="5"/>
        <v>153.93285959323697</v>
      </c>
      <c r="K30" s="38">
        <f t="shared" si="5"/>
        <v>154.32900432900428</v>
      </c>
      <c r="L30" s="38">
        <f t="shared" si="5"/>
        <v>158.8744588744589</v>
      </c>
      <c r="M30" s="38">
        <f t="shared" si="5"/>
        <v>154.59882583170256</v>
      </c>
      <c r="N30" s="38">
        <f t="shared" si="5"/>
        <v>154.18886198547213</v>
      </c>
      <c r="O30" s="39">
        <f t="shared" si="5"/>
        <v>154.40576230492198</v>
      </c>
      <c r="P30" s="37">
        <f t="shared" si="5"/>
        <v>153.97631133671743</v>
      </c>
      <c r="Q30" s="38">
        <f t="shared" si="5"/>
        <v>154.18384671355813</v>
      </c>
      <c r="R30" s="38">
        <f t="shared" si="5"/>
        <v>153.9628180039139</v>
      </c>
      <c r="S30" s="38">
        <f t="shared" si="5"/>
        <v>155.2447552447552</v>
      </c>
      <c r="T30" s="38">
        <f t="shared" si="5"/>
        <v>154.07641761985883</v>
      </c>
      <c r="U30" s="38">
        <f t="shared" si="5"/>
        <v>154.61896593972065</v>
      </c>
      <c r="V30" s="39">
        <f t="shared" si="5"/>
        <v>154.16968817984048</v>
      </c>
      <c r="W30" s="40"/>
    </row>
    <row r="31" spans="1:25" ht="33.75" customHeight="1" x14ac:dyDescent="0.25">
      <c r="A31" s="41"/>
      <c r="B31" s="645">
        <f t="shared" ref="B31:V32" si="6">B29-B25</f>
        <v>0.31205999999917822</v>
      </c>
      <c r="C31" s="645">
        <f t="shared" si="6"/>
        <v>-1.0637400000008483</v>
      </c>
      <c r="D31" s="645">
        <f t="shared" si="6"/>
        <v>-0.88616000000070017</v>
      </c>
      <c r="E31" s="645">
        <f t="shared" si="6"/>
        <v>-2.1558800000001526</v>
      </c>
      <c r="F31" s="645">
        <f t="shared" si="6"/>
        <v>-2.0680000000766086E-2</v>
      </c>
      <c r="G31" s="645">
        <f t="shared" si="6"/>
        <v>-2.7413200000007691</v>
      </c>
      <c r="H31" s="645">
        <f t="shared" si="6"/>
        <v>-1.9552000000007865</v>
      </c>
      <c r="I31" s="645">
        <f t="shared" si="6"/>
        <v>-1.1260200000008354</v>
      </c>
      <c r="J31" s="645">
        <f t="shared" si="6"/>
        <v>2.9139999999188149E-2</v>
      </c>
      <c r="K31" s="645">
        <f t="shared" si="6"/>
        <v>-1.6174800000006826</v>
      </c>
      <c r="L31" s="645">
        <f t="shared" si="6"/>
        <v>-4.559440000000194</v>
      </c>
      <c r="M31" s="645">
        <f t="shared" si="6"/>
        <v>-2.6932800000008683</v>
      </c>
      <c r="N31" s="645">
        <f t="shared" si="6"/>
        <v>-1.027800000000866</v>
      </c>
      <c r="O31" s="645">
        <f t="shared" si="6"/>
        <v>-1.9399000000008755</v>
      </c>
      <c r="P31" s="645">
        <f t="shared" si="6"/>
        <v>-0.15022000000089974</v>
      </c>
      <c r="Q31" s="645">
        <f t="shared" si="6"/>
        <v>-1.005380000000855</v>
      </c>
      <c r="R31" s="645">
        <f t="shared" si="6"/>
        <v>-9.3280000000959262E-2</v>
      </c>
      <c r="S31" s="645">
        <f t="shared" si="6"/>
        <v>-1.3060600000001727</v>
      </c>
      <c r="T31" s="645">
        <f t="shared" si="6"/>
        <v>-0.56054000000074211</v>
      </c>
      <c r="U31" s="645">
        <f t="shared" si="6"/>
        <v>-2.7708600000008801</v>
      </c>
      <c r="V31" s="645">
        <f t="shared" si="6"/>
        <v>-0.95022000000096796</v>
      </c>
      <c r="W31" s="42"/>
      <c r="X31" s="42"/>
    </row>
    <row r="32" spans="1:25" ht="33.75" customHeight="1" x14ac:dyDescent="0.25">
      <c r="A32" s="41"/>
      <c r="B32" s="42">
        <f>B30-B26</f>
        <v>-8.0035906642478949E-2</v>
      </c>
      <c r="C32" s="42">
        <f t="shared" si="6"/>
        <v>0.27781143901822247</v>
      </c>
      <c r="D32" s="42">
        <f t="shared" si="6"/>
        <v>0.23101147028174296</v>
      </c>
      <c r="E32" s="42">
        <f t="shared" si="6"/>
        <v>2.7016040100252781</v>
      </c>
      <c r="F32" s="42">
        <f t="shared" si="6"/>
        <v>5.3326456938691535E-3</v>
      </c>
      <c r="G32" s="42">
        <f t="shared" si="6"/>
        <v>0.71724751439057854</v>
      </c>
      <c r="H32" s="42">
        <f t="shared" si="6"/>
        <v>0.49877551020426836</v>
      </c>
      <c r="I32" s="42">
        <f t="shared" si="6"/>
        <v>0.27686746987973265</v>
      </c>
      <c r="J32" s="42">
        <f t="shared" si="6"/>
        <v>-7.1404067628293433E-3</v>
      </c>
      <c r="K32" s="42">
        <f t="shared" si="6"/>
        <v>0.38900432900447868</v>
      </c>
      <c r="L32" s="42">
        <f t="shared" si="6"/>
        <v>4.9344588744590965</v>
      </c>
      <c r="M32" s="42">
        <f t="shared" si="6"/>
        <v>0.65882583170275666</v>
      </c>
      <c r="N32" s="42">
        <f t="shared" si="6"/>
        <v>0.24886198547233107</v>
      </c>
      <c r="O32" s="42">
        <f t="shared" si="6"/>
        <v>0.46576230492217974</v>
      </c>
      <c r="P32" s="42">
        <f t="shared" si="6"/>
        <v>3.6311336717631093E-2</v>
      </c>
      <c r="Q32" s="42">
        <f>Q30-Q26</f>
        <v>0.24384671355832666</v>
      </c>
      <c r="R32" s="42">
        <f t="shared" si="6"/>
        <v>2.2818003914096607E-2</v>
      </c>
      <c r="S32" s="42">
        <f t="shared" si="6"/>
        <v>1.3047552447553983</v>
      </c>
      <c r="T32" s="42">
        <f t="shared" si="6"/>
        <v>0.13641761985903145</v>
      </c>
      <c r="U32" s="42">
        <f t="shared" si="6"/>
        <v>0.67896593972085384</v>
      </c>
      <c r="V32" s="42">
        <f t="shared" si="6"/>
        <v>0.22968817984067869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5" t="s">
        <v>8</v>
      </c>
      <c r="P36" s="1036"/>
      <c r="Q36" s="1036"/>
      <c r="R36" s="1036"/>
      <c r="S36" s="1036"/>
      <c r="T36" s="1036"/>
      <c r="U36" s="1036"/>
      <c r="V36" s="1033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79.8</v>
      </c>
      <c r="C39" s="497">
        <v>79.2</v>
      </c>
      <c r="D39" s="497">
        <v>11.1</v>
      </c>
      <c r="E39" s="497">
        <v>85.7</v>
      </c>
      <c r="F39" s="497">
        <v>84.6</v>
      </c>
      <c r="G39" s="498">
        <v>86</v>
      </c>
      <c r="H39" s="540">
        <f t="shared" ref="H39:H46" si="7">SUM(B39:G39)</f>
        <v>426.4</v>
      </c>
      <c r="I39" s="49"/>
      <c r="J39" s="42"/>
      <c r="K39" s="42"/>
      <c r="L39" s="42"/>
      <c r="M39" s="2"/>
      <c r="N39" s="146" t="s">
        <v>51</v>
      </c>
      <c r="O39" s="650">
        <v>5.5</v>
      </c>
      <c r="P39" s="651">
        <v>5.7</v>
      </c>
      <c r="Q39" s="651">
        <v>0.8</v>
      </c>
      <c r="R39" s="651">
        <v>6.3</v>
      </c>
      <c r="S39" s="651">
        <v>6.3</v>
      </c>
      <c r="T39" s="651">
        <v>6.3</v>
      </c>
      <c r="U39" s="661">
        <v>5.0999999999999996</v>
      </c>
      <c r="V39" s="663">
        <f>SUM(O39:U39)</f>
        <v>36</v>
      </c>
      <c r="W39" s="137">
        <f>V39-U39</f>
        <v>30.9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79.3</v>
      </c>
      <c r="C40" s="497">
        <v>76.2</v>
      </c>
      <c r="D40" s="497">
        <v>9.8000000000000007</v>
      </c>
      <c r="E40" s="497">
        <v>84.9</v>
      </c>
      <c r="F40" s="497">
        <v>84.4</v>
      </c>
      <c r="G40" s="498">
        <v>85</v>
      </c>
      <c r="H40" s="539">
        <f t="shared" si="7"/>
        <v>419.6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6.3</v>
      </c>
      <c r="U40" s="661">
        <v>5.0999999999999996</v>
      </c>
      <c r="V40" s="543">
        <f t="shared" ref="V40:V45" si="8">SUM(O40:U40)</f>
        <v>35.9</v>
      </c>
      <c r="W40" s="137">
        <f t="shared" ref="W40:W45" si="9">V40-U40</f>
        <v>30.799999999999997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79.3</v>
      </c>
      <c r="C41" s="497">
        <v>76.2</v>
      </c>
      <c r="D41" s="497">
        <v>9.8000000000000007</v>
      </c>
      <c r="E41" s="497">
        <v>84.9</v>
      </c>
      <c r="F41" s="497">
        <v>84.4</v>
      </c>
      <c r="G41" s="498">
        <v>85</v>
      </c>
      <c r="H41" s="539">
        <f t="shared" si="7"/>
        <v>419.6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5.7</v>
      </c>
      <c r="Q41" s="651">
        <v>0.6</v>
      </c>
      <c r="R41" s="651">
        <v>6.3</v>
      </c>
      <c r="S41" s="651">
        <v>6.3</v>
      </c>
      <c r="T41" s="651">
        <v>6.3</v>
      </c>
      <c r="U41" s="661">
        <v>5.0999999999999996</v>
      </c>
      <c r="V41" s="543">
        <f t="shared" si="8"/>
        <v>35.9</v>
      </c>
      <c r="W41" s="137">
        <f t="shared" si="9"/>
        <v>30.799999999999997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78.900000000000006</v>
      </c>
      <c r="C42" s="497">
        <v>75.5</v>
      </c>
      <c r="D42" s="497">
        <v>9.6999999999999993</v>
      </c>
      <c r="E42" s="497">
        <v>84.9</v>
      </c>
      <c r="F42" s="497">
        <v>84.4</v>
      </c>
      <c r="G42" s="498">
        <v>85</v>
      </c>
      <c r="H42" s="539">
        <f t="shared" si="7"/>
        <v>418.4</v>
      </c>
      <c r="I42" s="49"/>
      <c r="J42" s="2"/>
      <c r="K42" s="2"/>
      <c r="L42" s="2"/>
      <c r="M42" s="2"/>
      <c r="N42" s="146" t="s">
        <v>28</v>
      </c>
      <c r="O42" s="650">
        <v>5.7</v>
      </c>
      <c r="P42" s="651">
        <v>5.8</v>
      </c>
      <c r="Q42" s="651">
        <v>0.6</v>
      </c>
      <c r="R42" s="651">
        <v>6.4</v>
      </c>
      <c r="S42" s="651">
        <v>6.4</v>
      </c>
      <c r="T42" s="651">
        <v>6.2</v>
      </c>
      <c r="U42" s="661">
        <v>5.0999999999999996</v>
      </c>
      <c r="V42" s="98">
        <f t="shared" si="8"/>
        <v>36.199999999999996</v>
      </c>
      <c r="W42" s="137">
        <f t="shared" si="9"/>
        <v>31.099999999999994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78.900000000000006</v>
      </c>
      <c r="C43" s="497">
        <v>75.5</v>
      </c>
      <c r="D43" s="497">
        <v>9.6999999999999993</v>
      </c>
      <c r="E43" s="497">
        <v>84.9</v>
      </c>
      <c r="F43" s="497">
        <v>84.4</v>
      </c>
      <c r="G43" s="498">
        <v>85</v>
      </c>
      <c r="H43" s="539">
        <f t="shared" si="7"/>
        <v>418.4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5.9</v>
      </c>
      <c r="Q43" s="651">
        <v>0.6</v>
      </c>
      <c r="R43" s="651">
        <v>6.4</v>
      </c>
      <c r="S43" s="651">
        <v>6.4</v>
      </c>
      <c r="T43" s="651">
        <v>6.3</v>
      </c>
      <c r="U43" s="661">
        <v>5.2</v>
      </c>
      <c r="V43" s="98">
        <f t="shared" si="8"/>
        <v>36.5</v>
      </c>
      <c r="W43" s="137">
        <f t="shared" si="9"/>
        <v>31.3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78.8</v>
      </c>
      <c r="C44" s="497">
        <v>75.5</v>
      </c>
      <c r="D44" s="497">
        <v>9.6999999999999993</v>
      </c>
      <c r="E44" s="497">
        <v>84.9</v>
      </c>
      <c r="F44" s="497">
        <v>84.4</v>
      </c>
      <c r="G44" s="498">
        <v>85</v>
      </c>
      <c r="H44" s="539">
        <f t="shared" si="7"/>
        <v>418.3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5.9</v>
      </c>
      <c r="Q44" s="651">
        <v>0.6</v>
      </c>
      <c r="R44" s="651">
        <v>6.4</v>
      </c>
      <c r="S44" s="651">
        <v>6.4</v>
      </c>
      <c r="T44" s="651">
        <v>6.3</v>
      </c>
      <c r="U44" s="661">
        <v>5.2</v>
      </c>
      <c r="V44" s="98">
        <f t="shared" si="8"/>
        <v>36.5</v>
      </c>
      <c r="W44" s="137">
        <f t="shared" si="9"/>
        <v>31.3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78.8</v>
      </c>
      <c r="C45" s="497">
        <v>75.5</v>
      </c>
      <c r="D45" s="497">
        <v>9.6</v>
      </c>
      <c r="E45" s="497">
        <v>84.9</v>
      </c>
      <c r="F45" s="497">
        <v>84.4</v>
      </c>
      <c r="G45" s="498">
        <v>85</v>
      </c>
      <c r="H45" s="652">
        <f t="shared" si="7"/>
        <v>418.20000000000005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5.9</v>
      </c>
      <c r="Q45" s="651">
        <v>0.1</v>
      </c>
      <c r="R45" s="651">
        <v>6.4</v>
      </c>
      <c r="S45" s="651">
        <v>6.5</v>
      </c>
      <c r="T45" s="651">
        <v>6.3</v>
      </c>
      <c r="U45" s="661">
        <v>5.2</v>
      </c>
      <c r="V45" s="98">
        <f t="shared" si="8"/>
        <v>36.1</v>
      </c>
      <c r="W45" s="49">
        <f t="shared" si="9"/>
        <v>30.900000000000002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553.79999999999995</v>
      </c>
      <c r="C46" s="611">
        <f t="shared" si="10"/>
        <v>533.6</v>
      </c>
      <c r="D46" s="611">
        <f>SUM(D39:D45)</f>
        <v>69.399999999999991</v>
      </c>
      <c r="E46" s="611">
        <f t="shared" si="10"/>
        <v>595.1</v>
      </c>
      <c r="F46" s="611">
        <f t="shared" si="10"/>
        <v>591</v>
      </c>
      <c r="G46" s="612">
        <f t="shared" si="10"/>
        <v>596</v>
      </c>
      <c r="H46" s="560">
        <f t="shared" si="7"/>
        <v>2938.9</v>
      </c>
      <c r="I46" s="559"/>
      <c r="J46" s="42"/>
      <c r="K46" s="42"/>
      <c r="L46" s="42"/>
      <c r="N46" s="145" t="s">
        <v>9</v>
      </c>
      <c r="O46" s="122">
        <f t="shared" ref="O46:T46" si="11">SUM(O39:O45)</f>
        <v>39.5</v>
      </c>
      <c r="P46" s="120">
        <f t="shared" si="11"/>
        <v>40.6</v>
      </c>
      <c r="Q46" s="120">
        <f t="shared" si="11"/>
        <v>3.9000000000000004</v>
      </c>
      <c r="R46" s="120">
        <f t="shared" si="11"/>
        <v>44.499999999999993</v>
      </c>
      <c r="S46" s="120">
        <f t="shared" si="11"/>
        <v>44.599999999999994</v>
      </c>
      <c r="T46" s="120">
        <f t="shared" si="11"/>
        <v>43.999999999999993</v>
      </c>
      <c r="U46" s="120">
        <f t="shared" ref="U46" si="12">SUM(U39:U45)</f>
        <v>36</v>
      </c>
      <c r="V46" s="361">
        <f>SUM(O46:U46)</f>
        <v>253.1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153.33924658248984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24">
        <v>157</v>
      </c>
      <c r="V47" s="128">
        <f>+((V46/V48)/7)*1000</f>
        <v>155.18087063151438</v>
      </c>
      <c r="W47" s="50"/>
      <c r="Y47" s="14"/>
      <c r="Z47" s="243"/>
    </row>
    <row r="48" spans="1:27" ht="33.75" customHeight="1" thickBot="1" x14ac:dyDescent="0.3">
      <c r="A48" s="149" t="s">
        <v>12</v>
      </c>
      <c r="B48" s="26">
        <v>515</v>
      </c>
      <c r="C48" s="27">
        <v>498</v>
      </c>
      <c r="D48" s="27">
        <v>64</v>
      </c>
      <c r="E48" s="27">
        <v>554</v>
      </c>
      <c r="F48" s="27">
        <v>551</v>
      </c>
      <c r="G48" s="28">
        <v>556</v>
      </c>
      <c r="H48" s="129">
        <f>SUM(B48:G48)</f>
        <v>2738</v>
      </c>
      <c r="I48" s="559"/>
      <c r="J48" s="41"/>
      <c r="K48" s="41"/>
      <c r="L48" s="49"/>
      <c r="M48" s="51"/>
      <c r="N48" s="149" t="s">
        <v>12</v>
      </c>
      <c r="O48" s="682">
        <v>37</v>
      </c>
      <c r="P48" s="683">
        <v>38</v>
      </c>
      <c r="Q48" s="683">
        <v>4</v>
      </c>
      <c r="R48" s="683">
        <v>41</v>
      </c>
      <c r="S48" s="683">
        <v>41</v>
      </c>
      <c r="T48" s="683">
        <v>40</v>
      </c>
      <c r="U48" s="683">
        <v>32</v>
      </c>
      <c r="V48" s="276">
        <f>SUM(O48:U48)</f>
        <v>233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3">((((B47*7)*B48)/1000-B39-B40)/5)</f>
        <v>78.608359999999976</v>
      </c>
      <c r="C49" s="31">
        <f t="shared" si="13"/>
        <v>75.703151999999974</v>
      </c>
      <c r="D49" s="31">
        <f t="shared" si="13"/>
        <v>9.5431359999999987</v>
      </c>
      <c r="E49" s="31">
        <f t="shared" si="13"/>
        <v>84.670895999999999</v>
      </c>
      <c r="F49" s="31">
        <f t="shared" si="13"/>
        <v>84.347623999999996</v>
      </c>
      <c r="G49" s="32">
        <f t="shared" si="13"/>
        <v>85.019743999999989</v>
      </c>
      <c r="H49" s="130">
        <f>((H46*1000)/H48)/7</f>
        <v>153.33924658248981</v>
      </c>
      <c r="I49" s="54"/>
      <c r="J49" s="54"/>
      <c r="K49" s="41"/>
      <c r="L49" s="49"/>
      <c r="N49" s="150" t="s">
        <v>13</v>
      </c>
      <c r="O49" s="684">
        <f t="shared" ref="O49:T49" si="14">((((O47*7)*O48)/1000-O39-O40)/5)</f>
        <v>5.6795</v>
      </c>
      <c r="P49" s="685">
        <f t="shared" si="14"/>
        <v>5.8329999999999993</v>
      </c>
      <c r="Q49" s="685">
        <f t="shared" si="14"/>
        <v>0.59919999999999995</v>
      </c>
      <c r="R49" s="685">
        <f t="shared" si="14"/>
        <v>6.4057000000000013</v>
      </c>
      <c r="S49" s="685">
        <f t="shared" si="14"/>
        <v>6.4057000000000013</v>
      </c>
      <c r="T49" s="685">
        <f t="shared" si="14"/>
        <v>6.2720000000000002</v>
      </c>
      <c r="U49" s="685">
        <f t="shared" ref="U49" si="15">((((U47*7)*U48)/1000-U39-U40)/5)</f>
        <v>4.9935999999999989</v>
      </c>
      <c r="V49" s="454">
        <f>((V46*1000)/V48)/7</f>
        <v>155.18087063151441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552.14179999999988</v>
      </c>
      <c r="C50" s="282">
        <f t="shared" ref="C50:G50" si="16">((C48*C47)*7)/1000</f>
        <v>533.91575999999998</v>
      </c>
      <c r="D50" s="282">
        <f t="shared" si="16"/>
        <v>68.615679999999998</v>
      </c>
      <c r="E50" s="282">
        <f t="shared" si="16"/>
        <v>593.95447999999999</v>
      </c>
      <c r="F50" s="282">
        <f t="shared" si="16"/>
        <v>590.73811999999998</v>
      </c>
      <c r="G50" s="284">
        <f t="shared" si="16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7">((O48*O47)*7)/1000</f>
        <v>39.497500000000002</v>
      </c>
      <c r="P50" s="282">
        <f t="shared" si="17"/>
        <v>40.564999999999998</v>
      </c>
      <c r="Q50" s="282">
        <f t="shared" si="17"/>
        <v>4.3959999999999999</v>
      </c>
      <c r="R50" s="282">
        <f t="shared" si="17"/>
        <v>44.628500000000003</v>
      </c>
      <c r="S50" s="282">
        <f t="shared" si="17"/>
        <v>44.628500000000003</v>
      </c>
      <c r="T50" s="282">
        <f t="shared" si="17"/>
        <v>43.96</v>
      </c>
      <c r="U50" s="282">
        <f t="shared" ref="U50" si="18">((U48*U47)*7)/1000</f>
        <v>35.167999999999999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9">+(B46/B48)/7*1000</f>
        <v>153.61997226074894</v>
      </c>
      <c r="C51" s="38">
        <f t="shared" si="19"/>
        <v>153.0694205393001</v>
      </c>
      <c r="D51" s="38">
        <f t="shared" si="19"/>
        <v>154.91071428571425</v>
      </c>
      <c r="E51" s="38">
        <f t="shared" si="19"/>
        <v>153.45538937596697</v>
      </c>
      <c r="F51" s="38">
        <f t="shared" si="19"/>
        <v>153.22789732953072</v>
      </c>
      <c r="G51" s="39">
        <f t="shared" si="19"/>
        <v>153.13463514902364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20">+(O46/O48)/7*1000</f>
        <v>152.50965250965251</v>
      </c>
      <c r="P51" s="38">
        <f t="shared" si="20"/>
        <v>152.63157894736841</v>
      </c>
      <c r="Q51" s="38">
        <f t="shared" si="20"/>
        <v>139.28571428571428</v>
      </c>
      <c r="R51" s="38">
        <f t="shared" si="20"/>
        <v>155.05226480836234</v>
      </c>
      <c r="S51" s="38">
        <f t="shared" si="20"/>
        <v>155.4006968641115</v>
      </c>
      <c r="T51" s="38">
        <f t="shared" si="20"/>
        <v>157.14285714285711</v>
      </c>
      <c r="U51" s="38">
        <f t="shared" ref="U51" si="21">+(U46/U48)/7*1000</f>
        <v>160.71428571428572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2">B50-B46</f>
        <v>-1.6582000000000789</v>
      </c>
      <c r="C52" s="645">
        <f t="shared" si="22"/>
        <v>0.31575999999995474</v>
      </c>
      <c r="D52" s="645">
        <f t="shared" si="22"/>
        <v>-0.78431999999999391</v>
      </c>
      <c r="E52" s="645">
        <f t="shared" si="22"/>
        <v>-1.1455200000000332</v>
      </c>
      <c r="F52" s="645">
        <f t="shared" si="22"/>
        <v>-0.26188000000001921</v>
      </c>
      <c r="G52" s="645">
        <f t="shared" si="22"/>
        <v>9.8719999999957508E-2</v>
      </c>
      <c r="H52" s="41"/>
      <c r="I52" s="45"/>
      <c r="J52" s="45"/>
      <c r="K52" s="56"/>
      <c r="L52" s="41"/>
      <c r="M52" s="41"/>
      <c r="N52" s="42"/>
      <c r="O52" s="645">
        <f t="shared" ref="O52:T53" si="23">O50-O46</f>
        <v>-2.4999999999977263E-3</v>
      </c>
      <c r="P52" s="645">
        <f t="shared" si="23"/>
        <v>-3.5000000000003695E-2</v>
      </c>
      <c r="Q52" s="645">
        <f t="shared" si="23"/>
        <v>0.49599999999999955</v>
      </c>
      <c r="R52" s="645">
        <f t="shared" si="23"/>
        <v>0.12850000000000961</v>
      </c>
      <c r="S52" s="645">
        <f t="shared" si="23"/>
        <v>2.8500000000008185E-2</v>
      </c>
      <c r="T52" s="645">
        <f t="shared" si="23"/>
        <v>-3.9999999999992042E-2</v>
      </c>
      <c r="U52" s="645">
        <f t="shared" ref="U52" si="24">U50-U46</f>
        <v>-0.83200000000000074</v>
      </c>
    </row>
    <row r="53" spans="1:27" ht="33.75" customHeight="1" x14ac:dyDescent="0.25">
      <c r="A53" s="41"/>
      <c r="B53" s="42">
        <f>B51-B47</f>
        <v>0.45997226074894115</v>
      </c>
      <c r="C53" s="42">
        <f t="shared" si="22"/>
        <v>-9.0579460699899528E-2</v>
      </c>
      <c r="D53" s="42">
        <f t="shared" si="22"/>
        <v>1.7507142857142526</v>
      </c>
      <c r="E53" s="42">
        <f t="shared" si="22"/>
        <v>0.29538937596697679</v>
      </c>
      <c r="F53" s="42">
        <f t="shared" si="22"/>
        <v>6.7897329530723027E-2</v>
      </c>
      <c r="G53" s="42">
        <f t="shared" si="22"/>
        <v>-2.5364850976359321E-2</v>
      </c>
      <c r="I53" s="2"/>
      <c r="J53" s="2"/>
      <c r="K53" s="45"/>
      <c r="L53" s="41"/>
      <c r="M53" s="42"/>
      <c r="N53" s="42"/>
      <c r="O53" s="42">
        <f t="shared" si="23"/>
        <v>9.6525096525112986E-3</v>
      </c>
      <c r="P53" s="42">
        <f t="shared" si="23"/>
        <v>0.13157894736841058</v>
      </c>
      <c r="Q53" s="42">
        <f t="shared" si="23"/>
        <v>-17.714285714285722</v>
      </c>
      <c r="R53" s="42">
        <f t="shared" si="23"/>
        <v>-0.44773519163766196</v>
      </c>
      <c r="S53" s="42">
        <f t="shared" si="23"/>
        <v>-9.9303135888504812E-2</v>
      </c>
      <c r="T53" s="42">
        <f t="shared" si="23"/>
        <v>0.14285714285711038</v>
      </c>
      <c r="U53" s="42">
        <f t="shared" ref="U53" si="25">U51-U47</f>
        <v>3.7142857142857224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5"/>
      <c r="P57" s="620" t="s">
        <v>126</v>
      </c>
      <c r="Q57" s="1051" t="s">
        <v>8</v>
      </c>
      <c r="R57" s="1052"/>
      <c r="S57" s="1052"/>
      <c r="T57" s="1052"/>
      <c r="U57" s="1052"/>
      <c r="V57" s="1052"/>
      <c r="W57" s="1053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6.7</v>
      </c>
      <c r="D60" s="497">
        <v>6.8</v>
      </c>
      <c r="E60" s="497">
        <v>1.8</v>
      </c>
      <c r="F60" s="497">
        <v>7</v>
      </c>
      <c r="G60" s="497">
        <v>6.9</v>
      </c>
      <c r="H60" s="653">
        <v>6.9</v>
      </c>
      <c r="I60" s="667">
        <v>7</v>
      </c>
      <c r="J60" s="668">
        <v>7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76">
        <v>7.8</v>
      </c>
      <c r="Q60" s="667">
        <v>7.1</v>
      </c>
      <c r="R60" s="668">
        <v>7.1</v>
      </c>
      <c r="S60" s="668">
        <v>6.9</v>
      </c>
      <c r="T60" s="668">
        <v>1.7</v>
      </c>
      <c r="U60" s="668">
        <v>7</v>
      </c>
      <c r="V60" s="668">
        <v>7</v>
      </c>
      <c r="W60" s="669">
        <v>7.2</v>
      </c>
      <c r="X60" s="673">
        <v>5.0999999999999996</v>
      </c>
      <c r="Y60" s="263">
        <f t="shared" ref="Y60:Y66" si="26">SUM(B60:X60)</f>
        <v>143.89999999999995</v>
      </c>
      <c r="Z60" s="643">
        <f>Y60-X60-P60</f>
        <v>130.99999999999994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133">
        <v>6.8</v>
      </c>
      <c r="C61" s="497">
        <v>6.4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</v>
      </c>
      <c r="O61" s="498">
        <v>6.9</v>
      </c>
      <c r="P61" s="677">
        <v>7.5</v>
      </c>
      <c r="Q61" s="133">
        <v>7</v>
      </c>
      <c r="R61" s="497">
        <v>7</v>
      </c>
      <c r="S61" s="497">
        <v>6.9</v>
      </c>
      <c r="T61" s="497">
        <v>1.5</v>
      </c>
      <c r="U61" s="497">
        <v>6.9</v>
      </c>
      <c r="V61" s="497">
        <v>7</v>
      </c>
      <c r="W61" s="498">
        <v>7.2</v>
      </c>
      <c r="X61" s="674">
        <v>5</v>
      </c>
      <c r="Y61" s="263">
        <f t="shared" si="26"/>
        <v>142</v>
      </c>
      <c r="Z61" s="643">
        <f t="shared" ref="Z61:Z66" si="27">Y61-X61-P61</f>
        <v>129.5</v>
      </c>
      <c r="AA61" s="643">
        <f t="shared" ref="AA61:AA66" si="28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6.4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6.9</v>
      </c>
      <c r="N62" s="497">
        <v>7</v>
      </c>
      <c r="O62" s="498">
        <v>6.9</v>
      </c>
      <c r="P62" s="677">
        <v>7.5</v>
      </c>
      <c r="Q62" s="133">
        <v>7.1</v>
      </c>
      <c r="R62" s="497">
        <v>7.1</v>
      </c>
      <c r="S62" s="497">
        <v>6.9</v>
      </c>
      <c r="T62" s="497">
        <v>1.5</v>
      </c>
      <c r="U62" s="497">
        <v>6.9</v>
      </c>
      <c r="V62" s="497">
        <v>7</v>
      </c>
      <c r="W62" s="498">
        <v>7.2</v>
      </c>
      <c r="X62" s="674">
        <v>5</v>
      </c>
      <c r="Y62" s="263">
        <f t="shared" si="26"/>
        <v>142.19999999999999</v>
      </c>
      <c r="Z62" s="643">
        <f t="shared" si="27"/>
        <v>129.69999999999999</v>
      </c>
      <c r="AA62" s="643">
        <f t="shared" si="28"/>
        <v>12.5</v>
      </c>
    </row>
    <row r="63" spans="1:27" ht="33.75" customHeight="1" x14ac:dyDescent="0.25">
      <c r="A63" s="146" t="s">
        <v>28</v>
      </c>
      <c r="B63" s="133">
        <v>6.9</v>
      </c>
      <c r="C63" s="497">
        <v>6.5</v>
      </c>
      <c r="D63" s="497">
        <v>6.8</v>
      </c>
      <c r="E63" s="497">
        <v>1.7</v>
      </c>
      <c r="F63" s="497">
        <v>6.9</v>
      </c>
      <c r="G63" s="497">
        <v>7</v>
      </c>
      <c r="H63" s="653">
        <v>7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77">
        <v>7.3</v>
      </c>
      <c r="Q63" s="133">
        <v>7.1</v>
      </c>
      <c r="R63" s="497">
        <v>7.1</v>
      </c>
      <c r="S63" s="497">
        <v>7</v>
      </c>
      <c r="T63" s="497">
        <v>1.6</v>
      </c>
      <c r="U63" s="497">
        <v>6.9</v>
      </c>
      <c r="V63" s="497">
        <v>7.1</v>
      </c>
      <c r="W63" s="498">
        <v>6.7</v>
      </c>
      <c r="X63" s="674">
        <v>5</v>
      </c>
      <c r="Y63" s="263">
        <f t="shared" si="26"/>
        <v>142.49999999999997</v>
      </c>
      <c r="Z63" s="643">
        <f t="shared" si="27"/>
        <v>130.19999999999996</v>
      </c>
      <c r="AA63" s="643">
        <f t="shared" si="28"/>
        <v>12.3</v>
      </c>
    </row>
    <row r="64" spans="1:27" ht="33.75" customHeight="1" x14ac:dyDescent="0.25">
      <c r="A64" s="146" t="s">
        <v>21</v>
      </c>
      <c r="B64" s="133">
        <v>6.9</v>
      </c>
      <c r="C64" s="497">
        <v>6.6</v>
      </c>
      <c r="D64" s="497">
        <v>6.9</v>
      </c>
      <c r="E64" s="497">
        <v>1.7</v>
      </c>
      <c r="F64" s="497">
        <v>7.1</v>
      </c>
      <c r="G64" s="497">
        <v>7</v>
      </c>
      <c r="H64" s="653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7.2</v>
      </c>
      <c r="O64" s="498">
        <v>7</v>
      </c>
      <c r="P64" s="677">
        <v>7.4</v>
      </c>
      <c r="Q64" s="133">
        <v>7.2</v>
      </c>
      <c r="R64" s="497">
        <v>7.2</v>
      </c>
      <c r="S64" s="497">
        <v>7.1</v>
      </c>
      <c r="T64" s="497">
        <v>1.6</v>
      </c>
      <c r="U64" s="497">
        <v>7.1</v>
      </c>
      <c r="V64" s="497">
        <v>7.1</v>
      </c>
      <c r="W64" s="498">
        <v>6.7</v>
      </c>
      <c r="X64" s="674">
        <v>5.0999999999999996</v>
      </c>
      <c r="Y64" s="263">
        <f t="shared" si="26"/>
        <v>144.09999999999997</v>
      </c>
      <c r="Z64" s="643">
        <f t="shared" si="27"/>
        <v>131.59999999999997</v>
      </c>
      <c r="AA64" s="643">
        <f t="shared" si="28"/>
        <v>12.5</v>
      </c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7.1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7.1</v>
      </c>
      <c r="N65" s="497">
        <v>7.2</v>
      </c>
      <c r="O65" s="498">
        <v>7</v>
      </c>
      <c r="P65" s="677">
        <v>7.4</v>
      </c>
      <c r="Q65" s="133">
        <v>7.2</v>
      </c>
      <c r="R65" s="497">
        <v>7.2</v>
      </c>
      <c r="S65" s="497">
        <v>7.1</v>
      </c>
      <c r="T65" s="497">
        <v>1.6</v>
      </c>
      <c r="U65" s="497">
        <v>7.1</v>
      </c>
      <c r="V65" s="497">
        <v>7.2</v>
      </c>
      <c r="W65" s="498">
        <v>6.7</v>
      </c>
      <c r="X65" s="674">
        <v>5.2</v>
      </c>
      <c r="Y65" s="263">
        <f t="shared" si="26"/>
        <v>144.49999999999997</v>
      </c>
      <c r="Z65" s="643">
        <f t="shared" si="27"/>
        <v>131.89999999999998</v>
      </c>
      <c r="AA65" s="642">
        <f t="shared" si="28"/>
        <v>12.600000000000001</v>
      </c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6.9</v>
      </c>
      <c r="E66" s="497">
        <v>1.8</v>
      </c>
      <c r="F66" s="497">
        <v>7.1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7.1</v>
      </c>
      <c r="N66" s="671">
        <v>7.2</v>
      </c>
      <c r="O66" s="672">
        <v>7</v>
      </c>
      <c r="P66" s="677">
        <v>7.4</v>
      </c>
      <c r="Q66" s="670">
        <v>7.2</v>
      </c>
      <c r="R66" s="671">
        <v>7.2</v>
      </c>
      <c r="S66" s="671">
        <v>7.1</v>
      </c>
      <c r="T66" s="497">
        <v>1.6</v>
      </c>
      <c r="U66" s="671">
        <v>7.1</v>
      </c>
      <c r="V66" s="671">
        <v>7.2</v>
      </c>
      <c r="W66" s="498">
        <v>6.8</v>
      </c>
      <c r="X66" s="675">
        <v>5.2</v>
      </c>
      <c r="Y66" s="263">
        <f t="shared" si="26"/>
        <v>144.6</v>
      </c>
      <c r="Z66" s="642">
        <f t="shared" si="27"/>
        <v>132</v>
      </c>
      <c r="AA66" s="642">
        <f t="shared" si="28"/>
        <v>12.600000000000001</v>
      </c>
    </row>
    <row r="67" spans="1:27" ht="33.75" customHeight="1" x14ac:dyDescent="0.25">
      <c r="A67" s="182" t="s">
        <v>9</v>
      </c>
      <c r="B67" s="122">
        <f>SUM(B60:B66)</f>
        <v>47.999999999999993</v>
      </c>
      <c r="C67" s="120">
        <f>SUM(C60:C66)</f>
        <v>45.800000000000004</v>
      </c>
      <c r="D67" s="120">
        <f t="shared" ref="D67:X67" si="29">SUM(D60:D66)</f>
        <v>47.9</v>
      </c>
      <c r="E67" s="120">
        <f t="shared" si="29"/>
        <v>12.200000000000001</v>
      </c>
      <c r="F67" s="120">
        <f t="shared" si="29"/>
        <v>49.000000000000007</v>
      </c>
      <c r="G67" s="120">
        <f t="shared" si="29"/>
        <v>48.7</v>
      </c>
      <c r="H67" s="121">
        <f t="shared" si="29"/>
        <v>48.7</v>
      </c>
      <c r="I67" s="200">
        <f t="shared" si="29"/>
        <v>49.300000000000004</v>
      </c>
      <c r="J67" s="201">
        <f t="shared" si="29"/>
        <v>49.300000000000004</v>
      </c>
      <c r="K67" s="201">
        <f t="shared" si="29"/>
        <v>50.2</v>
      </c>
      <c r="L67" s="201">
        <f t="shared" si="29"/>
        <v>12.300000000000002</v>
      </c>
      <c r="M67" s="201">
        <f t="shared" si="29"/>
        <v>49</v>
      </c>
      <c r="N67" s="201">
        <f t="shared" si="29"/>
        <v>49.800000000000011</v>
      </c>
      <c r="O67" s="229">
        <f t="shared" si="29"/>
        <v>48.7</v>
      </c>
      <c r="P67" s="639">
        <f t="shared" si="29"/>
        <v>52.3</v>
      </c>
      <c r="Q67" s="119">
        <f t="shared" si="29"/>
        <v>49.900000000000006</v>
      </c>
      <c r="R67" s="120">
        <f t="shared" si="29"/>
        <v>49.900000000000006</v>
      </c>
      <c r="S67" s="120">
        <f t="shared" si="29"/>
        <v>49.000000000000007</v>
      </c>
      <c r="T67" s="120">
        <f t="shared" si="29"/>
        <v>11.1</v>
      </c>
      <c r="U67" s="120">
        <f t="shared" si="29"/>
        <v>49.000000000000007</v>
      </c>
      <c r="V67" s="120">
        <f t="shared" si="29"/>
        <v>49.600000000000009</v>
      </c>
      <c r="W67" s="268">
        <f t="shared" si="29"/>
        <v>48.5</v>
      </c>
      <c r="X67" s="639">
        <f t="shared" si="29"/>
        <v>35.6</v>
      </c>
      <c r="Y67" s="326">
        <f>SUM(Y60:Y66)</f>
        <v>1003.7999999999998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159.15649278579355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47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901</v>
      </c>
      <c r="Z69" s="243"/>
    </row>
    <row r="70" spans="1:27" ht="33.75" customHeight="1" x14ac:dyDescent="0.25">
      <c r="A70" s="150" t="s">
        <v>13</v>
      </c>
      <c r="B70" s="30">
        <f t="shared" ref="B70:X70" si="30">((((B68*7)*B69)/1000-B60-B61)/5)</f>
        <v>6.8819000000000017</v>
      </c>
      <c r="C70" s="30">
        <f t="shared" si="30"/>
        <v>6.5352999999999994</v>
      </c>
      <c r="D70" s="30">
        <f t="shared" si="30"/>
        <v>6.8518000000000017</v>
      </c>
      <c r="E70" s="30">
        <f t="shared" si="30"/>
        <v>1.7486000000000002</v>
      </c>
      <c r="F70" s="30">
        <f t="shared" si="30"/>
        <v>7.0144000000000002</v>
      </c>
      <c r="G70" s="30">
        <f t="shared" si="30"/>
        <v>6.9728000000000012</v>
      </c>
      <c r="H70" s="30">
        <f t="shared" si="30"/>
        <v>6.9728000000000012</v>
      </c>
      <c r="I70" s="30">
        <f t="shared" si="30"/>
        <v>7.056</v>
      </c>
      <c r="J70" s="30">
        <f t="shared" si="30"/>
        <v>7.056</v>
      </c>
      <c r="K70" s="30">
        <f t="shared" si="30"/>
        <v>7.1884999999999994</v>
      </c>
      <c r="L70" s="30">
        <f t="shared" si="30"/>
        <v>1.7563</v>
      </c>
      <c r="M70" s="30">
        <f t="shared" si="30"/>
        <v>7.0144000000000002</v>
      </c>
      <c r="N70" s="30">
        <f t="shared" si="30"/>
        <v>7.1340000000000003</v>
      </c>
      <c r="O70" s="30">
        <f t="shared" si="30"/>
        <v>6.9528000000000008</v>
      </c>
      <c r="P70" s="30">
        <f t="shared" si="30"/>
        <v>7.4022000000000006</v>
      </c>
      <c r="Q70" s="30">
        <f t="shared" si="30"/>
        <v>7.1592000000000002</v>
      </c>
      <c r="R70" s="30">
        <f t="shared" si="30"/>
        <v>7.1592000000000002</v>
      </c>
      <c r="S70" s="30">
        <f t="shared" si="30"/>
        <v>7.0344000000000007</v>
      </c>
      <c r="T70" s="30">
        <f t="shared" si="30"/>
        <v>1.5860000000000003</v>
      </c>
      <c r="U70" s="30">
        <f t="shared" si="30"/>
        <v>7.0144000000000002</v>
      </c>
      <c r="V70" s="30">
        <f t="shared" si="30"/>
        <v>7.1224999999999996</v>
      </c>
      <c r="W70" s="30">
        <f t="shared" si="30"/>
        <v>6.8219999999999983</v>
      </c>
      <c r="X70" s="30">
        <f t="shared" si="30"/>
        <v>5.1031999999999993</v>
      </c>
      <c r="Y70" s="329">
        <f>((Y67*1000)/7)/Y69</f>
        <v>159.15649278579352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31">((D69*D68)*7)/1000</f>
        <v>47.859000000000002</v>
      </c>
      <c r="E71" s="282">
        <f t="shared" si="31"/>
        <v>12.243</v>
      </c>
      <c r="F71" s="282">
        <f t="shared" si="31"/>
        <v>48.972000000000001</v>
      </c>
      <c r="G71" s="282">
        <f t="shared" si="31"/>
        <v>48.664000000000001</v>
      </c>
      <c r="H71" s="284">
        <f t="shared" si="31"/>
        <v>48.664000000000001</v>
      </c>
      <c r="I71" s="285">
        <f t="shared" si="31"/>
        <v>49.28</v>
      </c>
      <c r="J71" s="282">
        <f t="shared" si="31"/>
        <v>49.28</v>
      </c>
      <c r="K71" s="282">
        <f t="shared" si="31"/>
        <v>50.2425</v>
      </c>
      <c r="L71" s="282">
        <f t="shared" si="31"/>
        <v>12.281499999999999</v>
      </c>
      <c r="M71" s="282">
        <f t="shared" si="31"/>
        <v>48.972000000000001</v>
      </c>
      <c r="N71" s="282">
        <f t="shared" si="31"/>
        <v>49.77</v>
      </c>
      <c r="O71" s="283">
        <f t="shared" si="31"/>
        <v>48.664000000000001</v>
      </c>
      <c r="P71" s="619">
        <f t="shared" si="31"/>
        <v>52.311</v>
      </c>
      <c r="Q71" s="285">
        <f t="shared" si="31"/>
        <v>49.896000000000001</v>
      </c>
      <c r="R71" s="282">
        <f t="shared" si="31"/>
        <v>49.896000000000001</v>
      </c>
      <c r="S71" s="282">
        <f t="shared" si="31"/>
        <v>48.972000000000001</v>
      </c>
      <c r="T71" s="282">
        <f t="shared" si="31"/>
        <v>11.13</v>
      </c>
      <c r="U71" s="282">
        <f t="shared" si="31"/>
        <v>48.972000000000001</v>
      </c>
      <c r="V71" s="282">
        <f t="shared" si="31"/>
        <v>49.612499999999997</v>
      </c>
      <c r="W71" s="283">
        <f t="shared" si="31"/>
        <v>48.51</v>
      </c>
      <c r="X71" s="619">
        <f t="shared" si="31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159.46843853820593</v>
      </c>
      <c r="C72" s="38">
        <f t="shared" ref="C72:X72" si="32">+(C67/C69)/7*1000</f>
        <v>159.58188153310107</v>
      </c>
      <c r="D72" s="38">
        <f t="shared" si="32"/>
        <v>159.13621262458472</v>
      </c>
      <c r="E72" s="38">
        <f>+(E67/E69)/7*1000</f>
        <v>158.44155844155844</v>
      </c>
      <c r="F72" s="38">
        <f t="shared" si="32"/>
        <v>159.09090909090912</v>
      </c>
      <c r="G72" s="38">
        <f t="shared" si="32"/>
        <v>158.11688311688312</v>
      </c>
      <c r="H72" s="39">
        <f t="shared" si="32"/>
        <v>158.11688311688312</v>
      </c>
      <c r="I72" s="67">
        <f t="shared" si="32"/>
        <v>160.06493506493507</v>
      </c>
      <c r="J72" s="38">
        <f t="shared" si="32"/>
        <v>160.06493506493507</v>
      </c>
      <c r="K72" s="38">
        <f t="shared" si="32"/>
        <v>159.36507936507937</v>
      </c>
      <c r="L72" s="38">
        <f t="shared" si="32"/>
        <v>159.74025974025977</v>
      </c>
      <c r="M72" s="38">
        <f t="shared" si="32"/>
        <v>159.09090909090909</v>
      </c>
      <c r="N72" s="38">
        <f t="shared" si="32"/>
        <v>158.09523809523813</v>
      </c>
      <c r="O72" s="158">
        <f t="shared" si="32"/>
        <v>158.11688311688312</v>
      </c>
      <c r="P72" s="255">
        <f t="shared" si="32"/>
        <v>158.96656534954406</v>
      </c>
      <c r="Q72" s="67">
        <f t="shared" si="32"/>
        <v>162.01298701298703</v>
      </c>
      <c r="R72" s="38">
        <f t="shared" si="32"/>
        <v>162.01298701298703</v>
      </c>
      <c r="S72" s="38">
        <f t="shared" si="32"/>
        <v>159.09090909090912</v>
      </c>
      <c r="T72" s="38">
        <f t="shared" si="32"/>
        <v>158.57142857142856</v>
      </c>
      <c r="U72" s="38">
        <f t="shared" si="32"/>
        <v>159.09090909090912</v>
      </c>
      <c r="V72" s="38">
        <f t="shared" si="32"/>
        <v>157.4603174603175</v>
      </c>
      <c r="W72" s="158">
        <f t="shared" si="32"/>
        <v>157.46753246753246</v>
      </c>
      <c r="X72" s="255">
        <f t="shared" si="32"/>
        <v>158.92857142857144</v>
      </c>
      <c r="Y72" s="237"/>
      <c r="Z72" s="243"/>
    </row>
    <row r="73" spans="1:27" ht="33.75" customHeight="1" x14ac:dyDescent="0.25">
      <c r="A73" s="41"/>
      <c r="B73" s="645">
        <f t="shared" ref="B73:X74" si="33">B71-B67</f>
        <v>9.5000000000098339E-3</v>
      </c>
      <c r="C73" s="645">
        <f t="shared" si="33"/>
        <v>-2.3500000000005627E-2</v>
      </c>
      <c r="D73" s="645">
        <f t="shared" si="33"/>
        <v>-4.0999999999996817E-2</v>
      </c>
      <c r="E73" s="645">
        <f t="shared" si="33"/>
        <v>4.2999999999999261E-2</v>
      </c>
      <c r="F73" s="645">
        <f t="shared" si="33"/>
        <v>-2.8000000000005798E-2</v>
      </c>
      <c r="G73" s="645">
        <f t="shared" si="33"/>
        <v>-3.6000000000001364E-2</v>
      </c>
      <c r="H73" s="645">
        <f t="shared" si="33"/>
        <v>-3.6000000000001364E-2</v>
      </c>
      <c r="I73" s="645">
        <f t="shared" si="33"/>
        <v>-2.0000000000003126E-2</v>
      </c>
      <c r="J73" s="645">
        <f t="shared" si="33"/>
        <v>-2.0000000000003126E-2</v>
      </c>
      <c r="K73" s="645">
        <f t="shared" si="33"/>
        <v>4.2499999999996874E-2</v>
      </c>
      <c r="L73" s="645">
        <f t="shared" si="33"/>
        <v>-1.850000000000307E-2</v>
      </c>
      <c r="M73" s="645">
        <f t="shared" si="33"/>
        <v>-2.7999999999998693E-2</v>
      </c>
      <c r="N73" s="645">
        <f t="shared" si="33"/>
        <v>-3.0000000000008242E-2</v>
      </c>
      <c r="O73" s="645">
        <f t="shared" si="33"/>
        <v>-3.6000000000001364E-2</v>
      </c>
      <c r="P73" s="645">
        <f t="shared" si="33"/>
        <v>1.1000000000002785E-2</v>
      </c>
      <c r="Q73" s="645">
        <f t="shared" si="33"/>
        <v>-4.0000000000048885E-3</v>
      </c>
      <c r="R73" s="645">
        <f t="shared" si="33"/>
        <v>-4.0000000000048885E-3</v>
      </c>
      <c r="S73" s="645">
        <f t="shared" si="33"/>
        <v>-2.8000000000005798E-2</v>
      </c>
      <c r="T73" s="645">
        <f t="shared" si="33"/>
        <v>3.0000000000001137E-2</v>
      </c>
      <c r="U73" s="645">
        <f t="shared" si="33"/>
        <v>-2.8000000000005798E-2</v>
      </c>
      <c r="V73" s="645">
        <f t="shared" si="33"/>
        <v>1.2499999999988631E-2</v>
      </c>
      <c r="W73" s="645">
        <f t="shared" si="33"/>
        <v>9.9999999999980105E-3</v>
      </c>
      <c r="X73" s="645">
        <f t="shared" si="33"/>
        <v>1.5999999999998238E-2</v>
      </c>
      <c r="Y73" s="14"/>
      <c r="Z73" s="243"/>
    </row>
    <row r="74" spans="1:27" ht="33.75" customHeight="1" x14ac:dyDescent="0.25">
      <c r="A74" s="41"/>
      <c r="B74" s="42">
        <f>B72-B68</f>
        <v>-3.1561461794069601E-2</v>
      </c>
      <c r="C74" s="42">
        <f t="shared" si="33"/>
        <v>8.1881533101068271E-2</v>
      </c>
      <c r="D74" s="42">
        <f t="shared" si="33"/>
        <v>0.13621262458471506</v>
      </c>
      <c r="E74" s="42">
        <f t="shared" si="33"/>
        <v>-0.55844155844155807</v>
      </c>
      <c r="F74" s="42">
        <f t="shared" si="33"/>
        <v>9.0909090909121915E-2</v>
      </c>
      <c r="G74" s="42">
        <f t="shared" si="33"/>
        <v>0.11688311688311614</v>
      </c>
      <c r="H74" s="42">
        <f t="shared" si="33"/>
        <v>0.11688311688311614</v>
      </c>
      <c r="I74" s="42">
        <f t="shared" si="33"/>
        <v>6.4935064935070841E-2</v>
      </c>
      <c r="J74" s="42">
        <f t="shared" si="33"/>
        <v>6.4935064935070841E-2</v>
      </c>
      <c r="K74" s="42">
        <f t="shared" si="33"/>
        <v>-0.13492063492063266</v>
      </c>
      <c r="L74" s="42">
        <f t="shared" si="33"/>
        <v>0.24025974025977348</v>
      </c>
      <c r="M74" s="42">
        <f t="shared" si="33"/>
        <v>9.0909090909093493E-2</v>
      </c>
      <c r="N74" s="42">
        <f t="shared" si="33"/>
        <v>9.5238095238130427E-2</v>
      </c>
      <c r="O74" s="42">
        <f t="shared" si="33"/>
        <v>0.11688311688311614</v>
      </c>
      <c r="P74" s="42">
        <f t="shared" si="33"/>
        <v>-3.3434650455944848E-2</v>
      </c>
      <c r="Q74" s="42">
        <f t="shared" si="33"/>
        <v>1.2987012987025537E-2</v>
      </c>
      <c r="R74" s="42">
        <f>R72-R68</f>
        <v>1.2987012987025537E-2</v>
      </c>
      <c r="S74" s="42">
        <f t="shared" si="33"/>
        <v>9.0909090909121915E-2</v>
      </c>
      <c r="T74" s="42">
        <f t="shared" si="33"/>
        <v>-0.42857142857144481</v>
      </c>
      <c r="U74" s="42">
        <f t="shared" si="33"/>
        <v>9.0909090909121915E-2</v>
      </c>
      <c r="V74" s="42">
        <f t="shared" si="33"/>
        <v>-3.9682539682502238E-2</v>
      </c>
      <c r="W74" s="42">
        <f t="shared" si="33"/>
        <v>-3.246753246753542E-2</v>
      </c>
      <c r="X74" s="42">
        <f t="shared" si="33"/>
        <v>-7.1428571428555188E-2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77"/>
  <dimension ref="A1:AI237"/>
  <sheetViews>
    <sheetView topLeftCell="A51" zoomScale="40" zoomScaleNormal="40" workbookViewId="0">
      <selection activeCell="V47" sqref="V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3.28515625" style="14" bestFit="1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53</v>
      </c>
      <c r="Q11" s="1022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686">
        <v>85.7</v>
      </c>
      <c r="C18" s="687">
        <v>84.3</v>
      </c>
      <c r="D18" s="688">
        <v>84.2</v>
      </c>
      <c r="E18" s="687">
        <v>17.2</v>
      </c>
      <c r="F18" s="688">
        <v>85.3</v>
      </c>
      <c r="G18" s="687">
        <v>84.2</v>
      </c>
      <c r="H18" s="689">
        <v>86.4</v>
      </c>
      <c r="I18" s="690">
        <v>89.5</v>
      </c>
      <c r="J18" s="688">
        <v>89.7</v>
      </c>
      <c r="K18" s="688">
        <v>91.5</v>
      </c>
      <c r="L18" s="688">
        <v>20.399999999999999</v>
      </c>
      <c r="M18" s="687">
        <v>90.1</v>
      </c>
      <c r="N18" s="687">
        <v>91</v>
      </c>
      <c r="O18" s="687">
        <v>91.7</v>
      </c>
      <c r="P18" s="691">
        <v>91</v>
      </c>
      <c r="Q18" s="688">
        <v>90.7</v>
      </c>
      <c r="R18" s="688">
        <v>89.7</v>
      </c>
      <c r="S18" s="688">
        <v>22.1</v>
      </c>
      <c r="T18" s="688">
        <v>90.3</v>
      </c>
      <c r="U18" s="688">
        <v>90.1</v>
      </c>
      <c r="V18" s="692">
        <v>91</v>
      </c>
      <c r="W18" s="596">
        <f t="shared" ref="W18:W23" si="0">SUM(B18:V18)</f>
        <v>1656.1</v>
      </c>
      <c r="Y18" s="697">
        <v>2</v>
      </c>
    </row>
    <row r="19" spans="1:25" ht="39.950000000000003" customHeight="1" x14ac:dyDescent="0.25">
      <c r="A19" s="146" t="s">
        <v>24</v>
      </c>
      <c r="B19" s="691">
        <v>85.7</v>
      </c>
      <c r="C19" s="688">
        <v>84.3</v>
      </c>
      <c r="D19" s="688">
        <v>84.3</v>
      </c>
      <c r="E19" s="693">
        <v>17.5</v>
      </c>
      <c r="F19" s="688">
        <v>85.3</v>
      </c>
      <c r="G19" s="687">
        <v>84.2</v>
      </c>
      <c r="H19" s="692">
        <v>86.2</v>
      </c>
      <c r="I19" s="690">
        <v>89.5</v>
      </c>
      <c r="J19" s="688">
        <v>89.7</v>
      </c>
      <c r="K19" s="688">
        <v>91.5</v>
      </c>
      <c r="L19" s="688">
        <v>20.399999999999999</v>
      </c>
      <c r="M19" s="688">
        <v>89.9</v>
      </c>
      <c r="N19" s="688">
        <v>90.8</v>
      </c>
      <c r="O19" s="688">
        <v>91.6</v>
      </c>
      <c r="P19" s="691">
        <v>91</v>
      </c>
      <c r="Q19" s="688">
        <v>90.7</v>
      </c>
      <c r="R19" s="688">
        <v>90</v>
      </c>
      <c r="S19" s="688">
        <v>22.1</v>
      </c>
      <c r="T19" s="687">
        <v>90.3</v>
      </c>
      <c r="U19" s="688">
        <v>89.8</v>
      </c>
      <c r="V19" s="689">
        <v>91</v>
      </c>
      <c r="W19" s="538">
        <f t="shared" ref="W19" si="1">SUM(B19:V19)</f>
        <v>1655.7999999999997</v>
      </c>
      <c r="Y19" s="698">
        <v>3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84.3</v>
      </c>
      <c r="E20" s="486">
        <v>17.2</v>
      </c>
      <c r="F20" s="497">
        <v>85.3</v>
      </c>
      <c r="G20" s="497">
        <v>84.1</v>
      </c>
      <c r="H20" s="498">
        <v>86.2</v>
      </c>
      <c r="I20" s="126">
        <v>89.5</v>
      </c>
      <c r="J20" s="497">
        <v>89.7</v>
      </c>
      <c r="K20" s="497">
        <v>91.5</v>
      </c>
      <c r="L20" s="501">
        <v>20.399999999999999</v>
      </c>
      <c r="M20" s="486">
        <v>89.9</v>
      </c>
      <c r="N20" s="497">
        <v>90.8</v>
      </c>
      <c r="O20" s="497">
        <v>91.6</v>
      </c>
      <c r="P20" s="133">
        <v>91</v>
      </c>
      <c r="Q20" s="497">
        <v>90.7</v>
      </c>
      <c r="R20" s="497">
        <v>90</v>
      </c>
      <c r="S20" s="497">
        <v>22.1</v>
      </c>
      <c r="T20" s="497">
        <v>90.2</v>
      </c>
      <c r="U20" s="497">
        <v>89.8</v>
      </c>
      <c r="V20" s="498">
        <v>89.9</v>
      </c>
      <c r="W20" s="538">
        <f t="shared" si="0"/>
        <v>1654.2</v>
      </c>
      <c r="Y20" s="699">
        <v>4</v>
      </c>
    </row>
    <row r="21" spans="1:25" ht="39.950000000000003" customHeight="1" x14ac:dyDescent="0.25">
      <c r="A21" s="146" t="s">
        <v>28</v>
      </c>
      <c r="B21" s="133">
        <v>85.7</v>
      </c>
      <c r="C21" s="486">
        <v>84.3</v>
      </c>
      <c r="D21" s="486">
        <v>84.3</v>
      </c>
      <c r="E21" s="497">
        <v>17.100000000000001</v>
      </c>
      <c r="F21" s="497">
        <v>85.3</v>
      </c>
      <c r="G21" s="497">
        <v>84.1</v>
      </c>
      <c r="H21" s="499">
        <v>86.2</v>
      </c>
      <c r="I21" s="126">
        <v>89.5</v>
      </c>
      <c r="J21" s="486">
        <v>89.7</v>
      </c>
      <c r="K21" s="497">
        <v>91.5</v>
      </c>
      <c r="L21" s="497">
        <v>20.100000000000001</v>
      </c>
      <c r="M21" s="497">
        <v>89.8</v>
      </c>
      <c r="N21" s="497">
        <v>90.8</v>
      </c>
      <c r="O21" s="497">
        <v>91.6</v>
      </c>
      <c r="P21" s="133">
        <v>91</v>
      </c>
      <c r="Q21" s="486">
        <v>90.7</v>
      </c>
      <c r="R21" s="497">
        <v>90</v>
      </c>
      <c r="S21" s="497">
        <v>22.1</v>
      </c>
      <c r="T21" s="497">
        <v>90.2</v>
      </c>
      <c r="U21" s="497">
        <v>89.8</v>
      </c>
      <c r="V21" s="498">
        <v>89.9</v>
      </c>
      <c r="W21" s="538">
        <f t="shared" si="0"/>
        <v>1653.7</v>
      </c>
      <c r="Y21" s="700">
        <v>5</v>
      </c>
    </row>
    <row r="22" spans="1:25" ht="39.950000000000003" customHeight="1" x14ac:dyDescent="0.25">
      <c r="A22" s="146" t="s">
        <v>21</v>
      </c>
      <c r="B22" s="485">
        <v>85.7</v>
      </c>
      <c r="C22" s="486">
        <v>84.2</v>
      </c>
      <c r="D22" s="497">
        <v>84.2</v>
      </c>
      <c r="E22" s="486">
        <v>17.100000000000001</v>
      </c>
      <c r="F22" s="497">
        <v>85.3</v>
      </c>
      <c r="G22" s="497">
        <v>84.1</v>
      </c>
      <c r="H22" s="498">
        <v>86.1</v>
      </c>
      <c r="I22" s="456">
        <v>89.5</v>
      </c>
      <c r="J22" s="497">
        <v>89.6</v>
      </c>
      <c r="K22" s="497">
        <v>91.5</v>
      </c>
      <c r="L22" s="497">
        <v>20.100000000000001</v>
      </c>
      <c r="M22" s="497">
        <v>89.8</v>
      </c>
      <c r="N22" s="497">
        <v>90.8</v>
      </c>
      <c r="O22" s="497">
        <v>91.6</v>
      </c>
      <c r="P22" s="133">
        <v>91</v>
      </c>
      <c r="Q22" s="497">
        <v>90.6</v>
      </c>
      <c r="R22" s="497">
        <v>90</v>
      </c>
      <c r="S22" s="486">
        <v>22.1</v>
      </c>
      <c r="T22" s="497">
        <v>90.2</v>
      </c>
      <c r="U22" s="497">
        <v>89.8</v>
      </c>
      <c r="V22" s="498">
        <v>89.9</v>
      </c>
      <c r="W22" s="538">
        <f t="shared" si="0"/>
        <v>1653.1999999999998</v>
      </c>
      <c r="Y22" s="701">
        <v>6</v>
      </c>
    </row>
    <row r="23" spans="1:25" ht="39.950000000000003" customHeight="1" x14ac:dyDescent="0.25">
      <c r="A23" s="146" t="s">
        <v>22</v>
      </c>
      <c r="B23" s="133">
        <v>85.6</v>
      </c>
      <c r="C23" s="497">
        <v>84.1</v>
      </c>
      <c r="D23" s="486">
        <v>84.3</v>
      </c>
      <c r="E23" s="497">
        <v>17</v>
      </c>
      <c r="F23" s="497">
        <v>85.3</v>
      </c>
      <c r="G23" s="497">
        <v>84.1</v>
      </c>
      <c r="H23" s="498">
        <v>86.1</v>
      </c>
      <c r="I23" s="456">
        <v>89.4</v>
      </c>
      <c r="J23" s="497">
        <v>89.6</v>
      </c>
      <c r="K23" s="497">
        <v>91.5</v>
      </c>
      <c r="L23" s="497">
        <v>20.100000000000001</v>
      </c>
      <c r="M23" s="497">
        <v>89.8</v>
      </c>
      <c r="N23" s="497">
        <v>90.8</v>
      </c>
      <c r="O23" s="497">
        <v>91.6</v>
      </c>
      <c r="P23" s="133">
        <v>91</v>
      </c>
      <c r="Q23" s="497">
        <v>90.6</v>
      </c>
      <c r="R23" s="497">
        <v>90</v>
      </c>
      <c r="S23" s="497">
        <v>22</v>
      </c>
      <c r="T23" s="497">
        <v>90.2</v>
      </c>
      <c r="U23" s="497">
        <v>89.8</v>
      </c>
      <c r="V23" s="498">
        <v>89.9</v>
      </c>
      <c r="W23" s="538">
        <f t="shared" si="0"/>
        <v>1652.8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</v>
      </c>
      <c r="C24" s="497">
        <v>80.7</v>
      </c>
      <c r="D24" s="497">
        <v>83.8</v>
      </c>
      <c r="E24" s="486">
        <v>14.4</v>
      </c>
      <c r="F24" s="497">
        <v>85.2</v>
      </c>
      <c r="G24" s="497">
        <v>82.5</v>
      </c>
      <c r="H24" s="498">
        <v>84.1</v>
      </c>
      <c r="I24" s="126">
        <v>87</v>
      </c>
      <c r="J24" s="497">
        <v>89.2</v>
      </c>
      <c r="K24" s="497">
        <v>91.1</v>
      </c>
      <c r="L24" s="600">
        <v>18.600000000000001</v>
      </c>
      <c r="M24" s="497">
        <v>87.9</v>
      </c>
      <c r="N24" s="497">
        <v>88.6</v>
      </c>
      <c r="O24" s="486">
        <v>90.4</v>
      </c>
      <c r="P24" s="133">
        <v>90.8</v>
      </c>
      <c r="Q24" s="497">
        <v>89.6</v>
      </c>
      <c r="R24" s="497">
        <v>89.6</v>
      </c>
      <c r="S24" s="486">
        <v>20.5</v>
      </c>
      <c r="T24" s="497">
        <v>90.1</v>
      </c>
      <c r="U24" s="497">
        <v>89.1</v>
      </c>
      <c r="V24" s="498">
        <v>94.2</v>
      </c>
      <c r="W24" s="98">
        <f>SUM(B24:V24)</f>
        <v>1631.3999999999996</v>
      </c>
    </row>
    <row r="25" spans="1:25" ht="41.45" customHeight="1" x14ac:dyDescent="0.25">
      <c r="A25" s="182" t="s">
        <v>9</v>
      </c>
      <c r="B25" s="122">
        <f>SUM(B18:B24)</f>
        <v>598.1</v>
      </c>
      <c r="C25" s="120">
        <f>SUM(C18:C24)</f>
        <v>586.20000000000005</v>
      </c>
      <c r="D25" s="120">
        <f t="shared" ref="D25:V25" si="2">SUM(D18:D24)</f>
        <v>589.4</v>
      </c>
      <c r="E25" s="120">
        <f>SUM(E18:E24)</f>
        <v>117.5</v>
      </c>
      <c r="F25" s="120">
        <f t="shared" si="2"/>
        <v>597</v>
      </c>
      <c r="G25" s="120">
        <f t="shared" si="2"/>
        <v>587.30000000000007</v>
      </c>
      <c r="H25" s="121">
        <f t="shared" si="2"/>
        <v>601.30000000000007</v>
      </c>
      <c r="I25" s="122">
        <f t="shared" si="2"/>
        <v>623.9</v>
      </c>
      <c r="J25" s="120">
        <f t="shared" si="2"/>
        <v>627.20000000000005</v>
      </c>
      <c r="K25" s="120">
        <f t="shared" si="2"/>
        <v>640.1</v>
      </c>
      <c r="L25" s="120">
        <f t="shared" si="2"/>
        <v>140.1</v>
      </c>
      <c r="M25" s="120">
        <f t="shared" si="2"/>
        <v>627.19999999999993</v>
      </c>
      <c r="N25" s="120">
        <f t="shared" si="2"/>
        <v>633.6</v>
      </c>
      <c r="O25" s="121">
        <f t="shared" si="2"/>
        <v>640.1</v>
      </c>
      <c r="P25" s="122">
        <f t="shared" si="2"/>
        <v>636.79999999999995</v>
      </c>
      <c r="Q25" s="120">
        <f t="shared" si="2"/>
        <v>633.6</v>
      </c>
      <c r="R25" s="120">
        <f t="shared" si="2"/>
        <v>629.30000000000007</v>
      </c>
      <c r="S25" s="120">
        <f>SUM(S18:S24)</f>
        <v>153</v>
      </c>
      <c r="T25" s="120">
        <f t="shared" si="2"/>
        <v>631.5</v>
      </c>
      <c r="U25" s="120">
        <f t="shared" si="2"/>
        <v>628.20000000000005</v>
      </c>
      <c r="V25" s="121">
        <f t="shared" si="2"/>
        <v>635.79999999999995</v>
      </c>
      <c r="W25" s="361">
        <f>SUM(W18:W24)</f>
        <v>11557.199999999999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153.94205794205791</v>
      </c>
      <c r="Y26" s="41"/>
    </row>
    <row r="27" spans="1:25" s="2" customFormat="1" ht="33" customHeight="1" x14ac:dyDescent="0.25">
      <c r="A27" s="149" t="s">
        <v>12</v>
      </c>
      <c r="B27" s="26">
        <v>555</v>
      </c>
      <c r="C27" s="27">
        <v>544</v>
      </c>
      <c r="D27" s="27">
        <v>547</v>
      </c>
      <c r="E27" s="27">
        <v>109</v>
      </c>
      <c r="F27" s="27">
        <v>554</v>
      </c>
      <c r="G27" s="27">
        <v>545</v>
      </c>
      <c r="H27" s="28">
        <v>558</v>
      </c>
      <c r="I27" s="26">
        <v>579</v>
      </c>
      <c r="J27" s="27">
        <v>582</v>
      </c>
      <c r="K27" s="27">
        <v>594</v>
      </c>
      <c r="L27" s="27">
        <v>130</v>
      </c>
      <c r="M27" s="27">
        <v>582</v>
      </c>
      <c r="N27" s="27">
        <v>588</v>
      </c>
      <c r="O27" s="28">
        <v>594</v>
      </c>
      <c r="P27" s="26">
        <v>591</v>
      </c>
      <c r="Q27" s="27">
        <v>588</v>
      </c>
      <c r="R27" s="27">
        <v>584</v>
      </c>
      <c r="S27" s="27">
        <v>142</v>
      </c>
      <c r="T27" s="27">
        <v>586</v>
      </c>
      <c r="U27" s="27">
        <v>583</v>
      </c>
      <c r="V27" s="28">
        <v>590</v>
      </c>
      <c r="W27" s="29">
        <f>SUM(B27:V27)</f>
        <v>10725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85.331379999999839</v>
      </c>
      <c r="C28" s="30">
        <f t="shared" si="3"/>
        <v>83.520703999999839</v>
      </c>
      <c r="D28" s="30">
        <f t="shared" si="3"/>
        <v>84.18725199999983</v>
      </c>
      <c r="E28" s="30">
        <f t="shared" si="3"/>
        <v>16.551243999999969</v>
      </c>
      <c r="F28" s="30">
        <f t="shared" si="3"/>
        <v>85.275863999999842</v>
      </c>
      <c r="G28" s="30">
        <f t="shared" si="3"/>
        <v>83.776219999999824</v>
      </c>
      <c r="H28" s="30">
        <f t="shared" si="3"/>
        <v>85.73792799999984</v>
      </c>
      <c r="I28" s="30">
        <f t="shared" si="3"/>
        <v>88.983763999999837</v>
      </c>
      <c r="J28" s="30">
        <f t="shared" si="3"/>
        <v>89.550311999999821</v>
      </c>
      <c r="K28" s="30">
        <f t="shared" si="3"/>
        <v>91.416503999999847</v>
      </c>
      <c r="L28" s="30">
        <f t="shared" si="3"/>
        <v>19.857079999999961</v>
      </c>
      <c r="M28" s="30">
        <f t="shared" si="3"/>
        <v>89.430311999999816</v>
      </c>
      <c r="N28" s="30">
        <f t="shared" si="3"/>
        <v>90.363407999999808</v>
      </c>
      <c r="O28" s="30">
        <f t="shared" si="3"/>
        <v>91.356503999999831</v>
      </c>
      <c r="P28" s="30">
        <f t="shared" si="3"/>
        <v>90.969955999999826</v>
      </c>
      <c r="Q28" s="30">
        <f t="shared" si="3"/>
        <v>90.443407999999806</v>
      </c>
      <c r="R28" s="30">
        <f t="shared" si="3"/>
        <v>89.92134399999982</v>
      </c>
      <c r="S28" s="30">
        <f t="shared" si="3"/>
        <v>21.763271999999962</v>
      </c>
      <c r="T28" s="30">
        <f t="shared" si="3"/>
        <v>90.172375999999844</v>
      </c>
      <c r="U28" s="30">
        <f t="shared" si="3"/>
        <v>89.665827999999834</v>
      </c>
      <c r="V28" s="30">
        <f t="shared" si="3"/>
        <v>90.754439999999818</v>
      </c>
      <c r="W28" s="362">
        <f>((W25*1000)/7)/W27</f>
        <v>153.94205794205791</v>
      </c>
      <c r="Y28" s="41"/>
    </row>
    <row r="29" spans="1:25" ht="33.75" customHeight="1" x14ac:dyDescent="0.25">
      <c r="A29" s="151" t="s">
        <v>14</v>
      </c>
      <c r="B29" s="281">
        <f>((B27*B26)*7)/1000</f>
        <v>598.05689999999925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117.45621999999985</v>
      </c>
      <c r="F29" s="282">
        <f t="shared" si="4"/>
        <v>596.97931999999923</v>
      </c>
      <c r="G29" s="282">
        <f t="shared" si="4"/>
        <v>587.28109999999913</v>
      </c>
      <c r="H29" s="284">
        <f t="shared" si="4"/>
        <v>601.28963999999917</v>
      </c>
      <c r="I29" s="281">
        <f t="shared" si="4"/>
        <v>623.91881999999919</v>
      </c>
      <c r="J29" s="282">
        <f t="shared" si="4"/>
        <v>627.15155999999922</v>
      </c>
      <c r="K29" s="282">
        <f t="shared" si="4"/>
        <v>640.08251999999925</v>
      </c>
      <c r="L29" s="282">
        <f t="shared" si="4"/>
        <v>140.08539999999982</v>
      </c>
      <c r="M29" s="282">
        <f t="shared" si="4"/>
        <v>627.15155999999922</v>
      </c>
      <c r="N29" s="282">
        <f t="shared" si="4"/>
        <v>633.61703999999918</v>
      </c>
      <c r="O29" s="284">
        <f t="shared" si="4"/>
        <v>640.08251999999925</v>
      </c>
      <c r="P29" s="281">
        <f t="shared" si="4"/>
        <v>636.8497799999991</v>
      </c>
      <c r="Q29" s="282">
        <f t="shared" si="4"/>
        <v>633.61703999999918</v>
      </c>
      <c r="R29" s="282">
        <f t="shared" si="4"/>
        <v>629.30671999999913</v>
      </c>
      <c r="S29" s="282">
        <f t="shared" si="4"/>
        <v>153.01635999999979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153.95109395109395</v>
      </c>
      <c r="C30" s="38">
        <f t="shared" ref="C30:V30" si="5">+(C25/C27)/7*1000</f>
        <v>153.93907563025212</v>
      </c>
      <c r="D30" s="38">
        <f t="shared" si="5"/>
        <v>153.93053016453382</v>
      </c>
      <c r="E30" s="38">
        <f t="shared" si="5"/>
        <v>153.99737876802098</v>
      </c>
      <c r="F30" s="38">
        <f t="shared" si="5"/>
        <v>153.94533264569367</v>
      </c>
      <c r="G30" s="38">
        <f t="shared" si="5"/>
        <v>153.9449541284404</v>
      </c>
      <c r="H30" s="39">
        <f t="shared" si="5"/>
        <v>153.94265232974914</v>
      </c>
      <c r="I30" s="37">
        <f t="shared" si="5"/>
        <v>153.93535652603009</v>
      </c>
      <c r="J30" s="38">
        <f t="shared" si="5"/>
        <v>153.95189003436431</v>
      </c>
      <c r="K30" s="38">
        <f t="shared" si="5"/>
        <v>153.94420394420396</v>
      </c>
      <c r="L30" s="38">
        <f t="shared" si="5"/>
        <v>153.95604395604394</v>
      </c>
      <c r="M30" s="38">
        <f t="shared" si="5"/>
        <v>153.95189003436425</v>
      </c>
      <c r="N30" s="38">
        <f t="shared" si="5"/>
        <v>153.93586005830903</v>
      </c>
      <c r="O30" s="39">
        <f t="shared" si="5"/>
        <v>153.94420394420396</v>
      </c>
      <c r="P30" s="37">
        <f t="shared" si="5"/>
        <v>153.92796712593665</v>
      </c>
      <c r="Q30" s="38">
        <f t="shared" si="5"/>
        <v>153.93586005830903</v>
      </c>
      <c r="R30" s="38">
        <f t="shared" si="5"/>
        <v>153.93835616438358</v>
      </c>
      <c r="S30" s="38">
        <f t="shared" si="5"/>
        <v>153.92354124748488</v>
      </c>
      <c r="T30" s="38">
        <f t="shared" si="5"/>
        <v>153.9492930277913</v>
      </c>
      <c r="U30" s="38">
        <f t="shared" si="5"/>
        <v>153.93285959323697</v>
      </c>
      <c r="V30" s="39">
        <f t="shared" si="5"/>
        <v>153.94673123486683</v>
      </c>
      <c r="W30" s="40"/>
    </row>
    <row r="31" spans="1:25" ht="33.75" customHeight="1" x14ac:dyDescent="0.25">
      <c r="A31" s="41"/>
      <c r="B31" s="645">
        <f t="shared" ref="B31:V32" si="6">B29-B25</f>
        <v>-4.3100000000777072E-2</v>
      </c>
      <c r="C31" s="645">
        <f t="shared" si="6"/>
        <v>3.5199999991846198E-3</v>
      </c>
      <c r="D31" s="645">
        <f t="shared" si="6"/>
        <v>3.6259999999174397E-2</v>
      </c>
      <c r="E31" s="645">
        <f t="shared" si="6"/>
        <v>-4.3780000000154473E-2</v>
      </c>
      <c r="F31" s="645">
        <f t="shared" si="6"/>
        <v>-2.0680000000766086E-2</v>
      </c>
      <c r="G31" s="645">
        <f t="shared" si="6"/>
        <v>-1.8900000000940054E-2</v>
      </c>
      <c r="H31" s="645">
        <f t="shared" si="6"/>
        <v>-1.0360000000900982E-2</v>
      </c>
      <c r="I31" s="645">
        <f t="shared" si="6"/>
        <v>1.8819999999209358E-2</v>
      </c>
      <c r="J31" s="645">
        <f t="shared" si="6"/>
        <v>-4.8440000000823602E-2</v>
      </c>
      <c r="K31" s="645">
        <f t="shared" si="6"/>
        <v>-1.7480000000773543E-2</v>
      </c>
      <c r="L31" s="645">
        <f t="shared" si="6"/>
        <v>-1.4600000000172031E-2</v>
      </c>
      <c r="M31" s="645">
        <f t="shared" si="6"/>
        <v>-4.8440000000709915E-2</v>
      </c>
      <c r="N31" s="645">
        <f t="shared" si="6"/>
        <v>1.7039999999155953E-2</v>
      </c>
      <c r="O31" s="645">
        <f t="shared" si="6"/>
        <v>-1.7480000000773543E-2</v>
      </c>
      <c r="P31" s="645">
        <f t="shared" si="6"/>
        <v>4.977999999914573E-2</v>
      </c>
      <c r="Q31" s="645">
        <f t="shared" si="6"/>
        <v>1.7039999999155953E-2</v>
      </c>
      <c r="R31" s="645">
        <f t="shared" si="6"/>
        <v>6.7199999990634751E-3</v>
      </c>
      <c r="S31" s="645">
        <f t="shared" si="6"/>
        <v>1.6359999999792763E-2</v>
      </c>
      <c r="T31" s="645">
        <f t="shared" si="6"/>
        <v>-3.8120000000844811E-2</v>
      </c>
      <c r="U31" s="645">
        <f t="shared" si="6"/>
        <v>2.9139999999188149E-2</v>
      </c>
      <c r="V31" s="645">
        <f t="shared" si="6"/>
        <v>-2.7800000000866021E-2</v>
      </c>
      <c r="W31" s="42"/>
      <c r="X31" s="42"/>
    </row>
    <row r="32" spans="1:25" ht="33.75" customHeight="1" x14ac:dyDescent="0.25">
      <c r="A32" s="41"/>
      <c r="B32" s="42">
        <f>B30-B26</f>
        <v>1.1093951094153454E-2</v>
      </c>
      <c r="C32" s="42">
        <f t="shared" si="6"/>
        <v>-9.2436974767906577E-4</v>
      </c>
      <c r="D32" s="42">
        <f t="shared" si="6"/>
        <v>-9.469835465978349E-3</v>
      </c>
      <c r="E32" s="42">
        <f t="shared" si="6"/>
        <v>5.7378768021180804E-2</v>
      </c>
      <c r="F32" s="42">
        <f t="shared" si="6"/>
        <v>5.3326456938691535E-3</v>
      </c>
      <c r="G32" s="42">
        <f t="shared" si="6"/>
        <v>4.9541284406018349E-3</v>
      </c>
      <c r="H32" s="42">
        <f t="shared" si="6"/>
        <v>2.652329749338378E-3</v>
      </c>
      <c r="I32" s="42">
        <f t="shared" si="6"/>
        <v>-4.6434739697076566E-3</v>
      </c>
      <c r="J32" s="42">
        <f t="shared" si="6"/>
        <v>1.1890034364512303E-2</v>
      </c>
      <c r="K32" s="42">
        <f t="shared" si="6"/>
        <v>4.203944204164145E-3</v>
      </c>
      <c r="L32" s="42">
        <f t="shared" si="6"/>
        <v>1.6043956044143215E-2</v>
      </c>
      <c r="M32" s="42">
        <f t="shared" si="6"/>
        <v>1.189003436445546E-2</v>
      </c>
      <c r="N32" s="42">
        <f t="shared" si="6"/>
        <v>-4.1399416907665909E-3</v>
      </c>
      <c r="O32" s="42">
        <f t="shared" si="6"/>
        <v>4.203944204164145E-3</v>
      </c>
      <c r="P32" s="42">
        <f t="shared" si="6"/>
        <v>-1.2032874063152121E-2</v>
      </c>
      <c r="Q32" s="42">
        <f>Q30-Q26</f>
        <v>-4.1399416907665909E-3</v>
      </c>
      <c r="R32" s="42">
        <f t="shared" si="6"/>
        <v>-1.6438356162211676E-3</v>
      </c>
      <c r="S32" s="42">
        <f t="shared" si="6"/>
        <v>-1.6458752514921571E-2</v>
      </c>
      <c r="T32" s="42">
        <f t="shared" si="6"/>
        <v>9.293027791500208E-3</v>
      </c>
      <c r="U32" s="42">
        <f t="shared" si="6"/>
        <v>-7.1404067628293433E-3</v>
      </c>
      <c r="V32" s="42">
        <f t="shared" si="6"/>
        <v>6.7312348670327538E-3</v>
      </c>
      <c r="W32" s="42"/>
      <c r="X32" s="42"/>
      <c r="Y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3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3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35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5" t="s">
        <v>8</v>
      </c>
      <c r="P36" s="1036"/>
      <c r="Q36" s="1036"/>
      <c r="R36" s="1036"/>
      <c r="S36" s="1036"/>
      <c r="T36" s="1036"/>
      <c r="U36" s="1036"/>
      <c r="V36" s="1033"/>
      <c r="W36" s="45"/>
      <c r="X36" s="3"/>
      <c r="Y36" s="14"/>
      <c r="Z36" s="24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35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35" ht="33.75" customHeight="1" x14ac:dyDescent="0.25">
      <c r="A39" s="146" t="s">
        <v>51</v>
      </c>
      <c r="B39" s="708">
        <v>78.8</v>
      </c>
      <c r="C39" s="709">
        <v>75.5</v>
      </c>
      <c r="D39" s="710">
        <v>9.6</v>
      </c>
      <c r="E39" s="711">
        <v>84.9</v>
      </c>
      <c r="F39" s="710">
        <v>84.4</v>
      </c>
      <c r="G39" s="712">
        <v>85</v>
      </c>
      <c r="H39" s="641">
        <f t="shared" ref="H39:H46" si="7">SUM(B39:G39)</f>
        <v>418.20000000000005</v>
      </c>
      <c r="I39" s="49"/>
      <c r="J39" s="42"/>
      <c r="K39" s="42"/>
      <c r="L39" s="42"/>
      <c r="M39" s="2"/>
      <c r="N39" s="146" t="s">
        <v>51</v>
      </c>
      <c r="O39" s="650">
        <v>5.6</v>
      </c>
      <c r="P39" s="651">
        <v>5.9</v>
      </c>
      <c r="Q39" s="651">
        <v>0.6</v>
      </c>
      <c r="R39" s="651">
        <v>6.5</v>
      </c>
      <c r="S39" s="651">
        <v>6.5</v>
      </c>
      <c r="T39" s="651">
        <v>6.3</v>
      </c>
      <c r="U39" s="661">
        <v>2.5</v>
      </c>
      <c r="V39" s="663">
        <f>SUM(O39:U39)</f>
        <v>33.900000000000006</v>
      </c>
      <c r="W39" s="137">
        <f>V39-U39</f>
        <v>31.400000000000006</v>
      </c>
      <c r="X39" s="48"/>
      <c r="Y39" s="14"/>
      <c r="Z39" s="243"/>
    </row>
    <row r="40" spans="1:35" ht="33.75" customHeight="1" x14ac:dyDescent="0.25">
      <c r="A40" s="146" t="s">
        <v>24</v>
      </c>
      <c r="B40" s="691">
        <v>78.8</v>
      </c>
      <c r="C40" s="687">
        <v>76.5</v>
      </c>
      <c r="D40" s="687">
        <v>9.9</v>
      </c>
      <c r="E40" s="688">
        <v>84.9</v>
      </c>
      <c r="F40" s="688">
        <v>84.4</v>
      </c>
      <c r="G40" s="692">
        <v>85</v>
      </c>
      <c r="H40" s="538">
        <f t="shared" si="7"/>
        <v>419.5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6.2</v>
      </c>
      <c r="U40" s="661">
        <v>2.5</v>
      </c>
      <c r="V40" s="543">
        <f t="shared" ref="V40:V45" si="8">SUM(O40:U40)</f>
        <v>33.200000000000003</v>
      </c>
      <c r="W40" s="137">
        <f>V40-U40</f>
        <v>30.700000000000003</v>
      </c>
      <c r="X40" s="48"/>
      <c r="Y40" s="14"/>
      <c r="Z40" s="243"/>
    </row>
    <row r="41" spans="1:35" ht="33.75" customHeight="1" x14ac:dyDescent="0.25">
      <c r="A41" s="146" t="s">
        <v>20</v>
      </c>
      <c r="B41" s="133">
        <v>78.8</v>
      </c>
      <c r="C41" s="486">
        <v>76.400000000000006</v>
      </c>
      <c r="D41" s="509">
        <v>9.8000000000000007</v>
      </c>
      <c r="E41" s="380">
        <v>84.9</v>
      </c>
      <c r="F41" s="497">
        <v>84.4</v>
      </c>
      <c r="G41" s="498">
        <v>85</v>
      </c>
      <c r="H41" s="538">
        <f t="shared" si="7"/>
        <v>419.3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5.8</v>
      </c>
      <c r="Q41" s="651">
        <v>0.6</v>
      </c>
      <c r="R41" s="651">
        <v>6.3</v>
      </c>
      <c r="S41" s="651">
        <v>6.3</v>
      </c>
      <c r="T41" s="651">
        <v>6.3</v>
      </c>
      <c r="U41" s="661">
        <v>2.5</v>
      </c>
      <c r="V41" s="538">
        <f t="shared" si="8"/>
        <v>33.4</v>
      </c>
      <c r="W41" s="49"/>
      <c r="X41" s="48"/>
      <c r="Y41" s="14"/>
      <c r="Z41" s="243"/>
    </row>
    <row r="42" spans="1:35" ht="33.75" customHeight="1" x14ac:dyDescent="0.25">
      <c r="A42" s="146" t="s">
        <v>28</v>
      </c>
      <c r="B42" s="133">
        <v>78.599999999999994</v>
      </c>
      <c r="C42" s="497">
        <v>75.7</v>
      </c>
      <c r="D42" s="497">
        <v>8.8000000000000007</v>
      </c>
      <c r="E42" s="497">
        <v>83.9</v>
      </c>
      <c r="F42" s="497">
        <v>84</v>
      </c>
      <c r="G42" s="498">
        <v>84.9</v>
      </c>
      <c r="H42" s="538">
        <f t="shared" si="7"/>
        <v>415.9</v>
      </c>
      <c r="I42" s="49"/>
      <c r="J42" s="2"/>
      <c r="K42" s="2"/>
      <c r="L42" s="2"/>
      <c r="M42" s="2"/>
      <c r="N42" s="146" t="s">
        <v>28</v>
      </c>
      <c r="O42" s="650">
        <v>5.6</v>
      </c>
      <c r="P42" s="651">
        <v>5.8</v>
      </c>
      <c r="Q42" s="651">
        <v>0.6</v>
      </c>
      <c r="R42" s="651">
        <v>6.3</v>
      </c>
      <c r="S42" s="651">
        <v>6.3</v>
      </c>
      <c r="T42" s="651">
        <v>6.3</v>
      </c>
      <c r="U42" s="661">
        <v>2.5</v>
      </c>
      <c r="V42" s="538">
        <f t="shared" si="8"/>
        <v>33.4</v>
      </c>
      <c r="W42" s="49"/>
      <c r="X42" s="48"/>
      <c r="Y42" s="14"/>
      <c r="Z42" s="243"/>
    </row>
    <row r="43" spans="1:35" ht="33.75" customHeight="1" x14ac:dyDescent="0.25">
      <c r="A43" s="146" t="s">
        <v>21</v>
      </c>
      <c r="B43" s="133">
        <v>78.599999999999994</v>
      </c>
      <c r="C43" s="497">
        <v>75.7</v>
      </c>
      <c r="D43" s="497">
        <v>8.8000000000000007</v>
      </c>
      <c r="E43" s="497">
        <v>83.9</v>
      </c>
      <c r="F43" s="497">
        <v>84</v>
      </c>
      <c r="G43" s="498">
        <v>84.9</v>
      </c>
      <c r="H43" s="538">
        <f t="shared" si="7"/>
        <v>415.9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5.8</v>
      </c>
      <c r="Q43" s="651">
        <v>0.6</v>
      </c>
      <c r="R43" s="651">
        <v>6.4</v>
      </c>
      <c r="S43" s="651">
        <v>6.4</v>
      </c>
      <c r="T43" s="651">
        <v>6.3</v>
      </c>
      <c r="U43" s="661">
        <v>2.5</v>
      </c>
      <c r="V43" s="538">
        <f t="shared" si="8"/>
        <v>33.700000000000003</v>
      </c>
      <c r="W43" s="49"/>
      <c r="X43" s="48"/>
      <c r="Y43" s="14"/>
      <c r="Z43" s="243"/>
    </row>
    <row r="44" spans="1:35" ht="33.75" customHeight="1" x14ac:dyDescent="0.25">
      <c r="A44" s="146" t="s">
        <v>22</v>
      </c>
      <c r="B44" s="133">
        <v>78.599999999999994</v>
      </c>
      <c r="C44" s="497">
        <v>75.7</v>
      </c>
      <c r="D44" s="497">
        <v>8.8000000000000007</v>
      </c>
      <c r="E44" s="497">
        <v>83.9</v>
      </c>
      <c r="F44" s="497">
        <v>84</v>
      </c>
      <c r="G44" s="498">
        <v>84.9</v>
      </c>
      <c r="H44" s="538">
        <f t="shared" si="7"/>
        <v>415.9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5.8</v>
      </c>
      <c r="Q44" s="651">
        <v>0.7</v>
      </c>
      <c r="R44" s="651">
        <v>6.4</v>
      </c>
      <c r="S44" s="651">
        <v>6.4</v>
      </c>
      <c r="T44" s="651">
        <v>6.3</v>
      </c>
      <c r="U44" s="661">
        <v>2.5</v>
      </c>
      <c r="V44" s="98">
        <f t="shared" si="8"/>
        <v>33.799999999999997</v>
      </c>
      <c r="W44" s="49"/>
      <c r="X44" s="48"/>
      <c r="Y44" s="14"/>
      <c r="Z44" s="243"/>
    </row>
    <row r="45" spans="1:35" ht="33.75" customHeight="1" thickBot="1" x14ac:dyDescent="0.3">
      <c r="A45" s="146" t="s">
        <v>23</v>
      </c>
      <c r="B45" s="670">
        <v>78.7</v>
      </c>
      <c r="C45" s="671">
        <v>74</v>
      </c>
      <c r="D45" s="671">
        <v>5.3</v>
      </c>
      <c r="E45" s="624">
        <v>82</v>
      </c>
      <c r="F45" s="671">
        <v>84.2</v>
      </c>
      <c r="G45" s="672">
        <v>85.1</v>
      </c>
      <c r="H45" s="704">
        <f t="shared" si="7"/>
        <v>409.29999999999995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5.8</v>
      </c>
      <c r="Q45" s="651">
        <v>0.7</v>
      </c>
      <c r="R45" s="651">
        <v>6.4</v>
      </c>
      <c r="S45" s="651">
        <v>6.4</v>
      </c>
      <c r="T45" s="651">
        <v>6.3</v>
      </c>
      <c r="U45" s="14">
        <v>2.5</v>
      </c>
      <c r="V45" s="98">
        <f t="shared" si="8"/>
        <v>33.799999999999997</v>
      </c>
      <c r="W45" s="49"/>
    </row>
    <row r="46" spans="1:35" ht="33.75" customHeight="1" thickBot="1" x14ac:dyDescent="0.3">
      <c r="A46" s="145" t="s">
        <v>9</v>
      </c>
      <c r="B46" s="705">
        <f t="shared" ref="B46:G46" si="9">SUM(B39:B45)</f>
        <v>550.90000000000009</v>
      </c>
      <c r="C46" s="706">
        <f t="shared" si="9"/>
        <v>529.5</v>
      </c>
      <c r="D46" s="706">
        <f>SUM(D39:D45)</f>
        <v>61</v>
      </c>
      <c r="E46" s="706">
        <f t="shared" si="9"/>
        <v>588.4</v>
      </c>
      <c r="F46" s="706">
        <f t="shared" si="9"/>
        <v>589.40000000000009</v>
      </c>
      <c r="G46" s="707">
        <f t="shared" si="9"/>
        <v>594.79999999999995</v>
      </c>
      <c r="H46" s="560">
        <f t="shared" si="7"/>
        <v>2914</v>
      </c>
      <c r="I46" s="559"/>
      <c r="J46" s="42"/>
      <c r="K46" s="42"/>
      <c r="L46" s="42"/>
      <c r="N46" s="145" t="s">
        <v>9</v>
      </c>
      <c r="O46" s="122">
        <f t="shared" ref="O46:T46" si="10">SUM(O39:O45)</f>
        <v>39.5</v>
      </c>
      <c r="P46" s="120">
        <f t="shared" si="10"/>
        <v>40.6</v>
      </c>
      <c r="Q46" s="120">
        <f t="shared" si="10"/>
        <v>4.4000000000000004</v>
      </c>
      <c r="R46" s="120">
        <f t="shared" si="10"/>
        <v>44.6</v>
      </c>
      <c r="S46" s="120">
        <f t="shared" si="10"/>
        <v>44.6</v>
      </c>
      <c r="T46" s="120">
        <f t="shared" si="10"/>
        <v>44</v>
      </c>
      <c r="U46" s="121">
        <v>44</v>
      </c>
      <c r="V46" s="361">
        <f>SUM(O46:U46)</f>
        <v>261.7</v>
      </c>
      <c r="W46" s="49"/>
      <c r="X46" s="2"/>
      <c r="Y46" s="14"/>
      <c r="Z46" s="243"/>
      <c r="AF46" s="48"/>
      <c r="AH46" s="243"/>
      <c r="AI46" s="662"/>
    </row>
    <row r="47" spans="1:35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152.82148101531362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661">
        <v>157.14285714285717</v>
      </c>
      <c r="V47" s="128" t="e">
        <f>+((V46/V48)/7)*1000</f>
        <v>#VALUE!</v>
      </c>
      <c r="W47" s="50"/>
      <c r="Y47" s="14"/>
      <c r="Z47" s="243"/>
    </row>
    <row r="48" spans="1:35" ht="33.75" customHeight="1" x14ac:dyDescent="0.25">
      <c r="A48" s="149" t="s">
        <v>12</v>
      </c>
      <c r="B48" s="26">
        <v>515</v>
      </c>
      <c r="C48" s="27">
        <v>495</v>
      </c>
      <c r="D48" s="27">
        <v>57</v>
      </c>
      <c r="E48" s="27">
        <v>550</v>
      </c>
      <c r="F48" s="27">
        <v>551</v>
      </c>
      <c r="G48" s="28">
        <v>556</v>
      </c>
      <c r="H48" s="129">
        <f>SUM(B48:G48)</f>
        <v>2724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 t="e">
        <v>#VALUE!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1">((((B47*7)*B48)/1000-B39-B40)/5)</f>
        <v>78.663219999999995</v>
      </c>
      <c r="C49" s="31">
        <f t="shared" si="11"/>
        <v>75.504260000000002</v>
      </c>
      <c r="D49" s="31">
        <f t="shared" si="11"/>
        <v>8.2950359999999996</v>
      </c>
      <c r="E49" s="31">
        <f t="shared" si="11"/>
        <v>83.711399999999998</v>
      </c>
      <c r="F49" s="31">
        <f t="shared" si="11"/>
        <v>84.125348000000002</v>
      </c>
      <c r="G49" s="32">
        <f t="shared" si="11"/>
        <v>84.955088000000018</v>
      </c>
      <c r="H49" s="130">
        <f>((H46*1000)/H48)/7</f>
        <v>152.82148101531359</v>
      </c>
      <c r="I49" s="54"/>
      <c r="J49" s="54"/>
      <c r="K49" s="41"/>
      <c r="L49" s="49"/>
      <c r="N49" s="150" t="s">
        <v>13</v>
      </c>
      <c r="O49" s="30">
        <f>((((O47*7)*O48)/1000/7))</f>
        <v>5.6425000000000001</v>
      </c>
      <c r="P49" s="30">
        <f t="shared" ref="P49:T49" si="12">((((P47*7)*P48)/1000-P39-P40)/5)</f>
        <v>5.7930000000000001</v>
      </c>
      <c r="Q49" s="30">
        <f t="shared" si="12"/>
        <v>0.63919999999999999</v>
      </c>
      <c r="R49" s="30">
        <f t="shared" si="12"/>
        <v>6.3657000000000004</v>
      </c>
      <c r="S49" s="30">
        <f t="shared" si="12"/>
        <v>6.3657000000000004</v>
      </c>
      <c r="T49" s="30">
        <f t="shared" si="12"/>
        <v>6.2920000000000007</v>
      </c>
      <c r="U49" s="30">
        <f t="shared" ref="U49" si="13">((((U47*7)*U48)/1000-U39-U40)/5)</f>
        <v>2.3000000000000007</v>
      </c>
      <c r="V49" s="454" t="e">
        <f>((V46*1000)/V48)/7</f>
        <v>#VALUE!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550.91610000000003</v>
      </c>
      <c r="C50" s="282">
        <f t="shared" ref="C50:G50" si="14">((C48*C47)*7)/1000</f>
        <v>529.52129999999988</v>
      </c>
      <c r="D50" s="282">
        <f t="shared" si="14"/>
        <v>60.975180000000002</v>
      </c>
      <c r="E50" s="282">
        <f t="shared" si="14"/>
        <v>588.35699999999997</v>
      </c>
      <c r="F50" s="282">
        <f t="shared" si="14"/>
        <v>589.42674</v>
      </c>
      <c r="G50" s="284">
        <f t="shared" si="14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5">((O48*O47)*7)/1000</f>
        <v>39.497500000000002</v>
      </c>
      <c r="P50" s="282">
        <f t="shared" si="15"/>
        <v>40.564999999999998</v>
      </c>
      <c r="Q50" s="282">
        <f t="shared" si="15"/>
        <v>4.3959999999999999</v>
      </c>
      <c r="R50" s="282">
        <f t="shared" si="15"/>
        <v>44.628500000000003</v>
      </c>
      <c r="S50" s="282">
        <f t="shared" si="15"/>
        <v>44.628500000000003</v>
      </c>
      <c r="T50" s="282">
        <f t="shared" si="15"/>
        <v>43.96</v>
      </c>
      <c r="U50" s="282">
        <f t="shared" ref="U50" si="16">((U48*U47)*7)/1000</f>
        <v>16.5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7">+(B46/B48)/7*1000</f>
        <v>152.81553398058256</v>
      </c>
      <c r="C51" s="38">
        <f t="shared" si="17"/>
        <v>152.8138528138528</v>
      </c>
      <c r="D51" s="38">
        <f t="shared" si="17"/>
        <v>152.88220551378444</v>
      </c>
      <c r="E51" s="38">
        <f t="shared" si="17"/>
        <v>152.83116883116881</v>
      </c>
      <c r="F51" s="38">
        <f t="shared" si="17"/>
        <v>152.81306715063522</v>
      </c>
      <c r="G51" s="39">
        <f t="shared" si="17"/>
        <v>152.82631038026719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8">+(O46/O48)/7*1000</f>
        <v>152.50965250965251</v>
      </c>
      <c r="P51" s="38">
        <f t="shared" si="18"/>
        <v>152.63157894736841</v>
      </c>
      <c r="Q51" s="38">
        <f t="shared" si="18"/>
        <v>157.14285714285717</v>
      </c>
      <c r="R51" s="38">
        <f t="shared" si="18"/>
        <v>155.40069686411152</v>
      </c>
      <c r="S51" s="38">
        <f t="shared" si="18"/>
        <v>155.40069686411152</v>
      </c>
      <c r="T51" s="38">
        <f t="shared" si="18"/>
        <v>157.14285714285717</v>
      </c>
      <c r="U51" s="38">
        <f t="shared" ref="U51" si="19">+(U46/U48)/7*1000</f>
        <v>419.04761904761898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0">B50-B46</f>
        <v>1.6099999999937609E-2</v>
      </c>
      <c r="C52" s="645">
        <f t="shared" si="20"/>
        <v>2.1299999999882857E-2</v>
      </c>
      <c r="D52" s="645">
        <f t="shared" si="20"/>
        <v>-2.4819999999998288E-2</v>
      </c>
      <c r="E52" s="645">
        <f t="shared" si="20"/>
        <v>-4.3000000000006366E-2</v>
      </c>
      <c r="F52" s="645">
        <f t="shared" si="20"/>
        <v>2.6739999999904285E-2</v>
      </c>
      <c r="G52" s="645">
        <f t="shared" si="20"/>
        <v>-2.4560000000064974E-2</v>
      </c>
      <c r="H52" s="41"/>
      <c r="I52" s="45"/>
      <c r="J52" s="45"/>
      <c r="K52" s="56"/>
      <c r="L52" s="41"/>
      <c r="M52" s="41"/>
      <c r="N52" s="42"/>
      <c r="O52" s="645">
        <f t="shared" ref="O52:T53" si="21">O50-O46</f>
        <v>-2.4999999999977263E-3</v>
      </c>
      <c r="P52" s="645">
        <f t="shared" si="21"/>
        <v>-3.5000000000003695E-2</v>
      </c>
      <c r="Q52" s="645">
        <f t="shared" si="21"/>
        <v>-4.0000000000004476E-3</v>
      </c>
      <c r="R52" s="645">
        <f t="shared" si="21"/>
        <v>2.850000000000108E-2</v>
      </c>
      <c r="S52" s="645">
        <f t="shared" si="21"/>
        <v>2.850000000000108E-2</v>
      </c>
      <c r="T52" s="645">
        <f t="shared" si="21"/>
        <v>-3.9999999999999147E-2</v>
      </c>
      <c r="U52" s="645">
        <f t="shared" ref="U52" si="22">U50-U46</f>
        <v>-27.5</v>
      </c>
    </row>
    <row r="53" spans="1:27" ht="33.75" customHeight="1" x14ac:dyDescent="0.25">
      <c r="A53" s="41"/>
      <c r="B53" s="42">
        <f>B51-B47</f>
        <v>-4.4660194174355183E-3</v>
      </c>
      <c r="C53" s="42">
        <f t="shared" si="20"/>
        <v>-6.1471861471886768E-3</v>
      </c>
      <c r="D53" s="42">
        <f t="shared" si="20"/>
        <v>6.2205513784448385E-2</v>
      </c>
      <c r="E53" s="42">
        <f t="shared" si="20"/>
        <v>1.1168831168816951E-2</v>
      </c>
      <c r="F53" s="42">
        <f t="shared" si="20"/>
        <v>-6.9328493647731193E-3</v>
      </c>
      <c r="G53" s="42">
        <f t="shared" si="20"/>
        <v>6.3103802671946596E-3</v>
      </c>
      <c r="I53" s="2"/>
      <c r="J53" s="2"/>
      <c r="K53" s="45"/>
      <c r="L53" s="41"/>
      <c r="M53" s="42"/>
      <c r="N53" s="42"/>
      <c r="O53" s="42">
        <f t="shared" si="21"/>
        <v>9.6525096525112986E-3</v>
      </c>
      <c r="P53" s="42">
        <f t="shared" si="21"/>
        <v>0.13157894736841058</v>
      </c>
      <c r="Q53" s="42">
        <f t="shared" si="21"/>
        <v>0.14285714285716722</v>
      </c>
      <c r="R53" s="42">
        <f t="shared" si="21"/>
        <v>-9.930313588847639E-2</v>
      </c>
      <c r="S53" s="42">
        <f t="shared" si="21"/>
        <v>-9.930313588847639E-2</v>
      </c>
      <c r="T53" s="42">
        <f t="shared" si="21"/>
        <v>0.14285714285716722</v>
      </c>
      <c r="U53" s="42">
        <f t="shared" ref="U53" si="23">U51-U47</f>
        <v>261.90476190476181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5"/>
      <c r="P57" s="620" t="s">
        <v>126</v>
      </c>
      <c r="Q57" s="1051" t="s">
        <v>8</v>
      </c>
      <c r="R57" s="1052"/>
      <c r="S57" s="1052"/>
      <c r="T57" s="1052"/>
      <c r="U57" s="1052"/>
      <c r="V57" s="1052"/>
      <c r="W57" s="1053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/>
      <c r="AA59" s="244"/>
    </row>
    <row r="60" spans="1:27" ht="33.75" customHeight="1" x14ac:dyDescent="0.25">
      <c r="A60" s="146" t="s">
        <v>51</v>
      </c>
      <c r="B60" s="133">
        <v>6.9</v>
      </c>
      <c r="C60" s="497">
        <v>6.6</v>
      </c>
      <c r="D60" s="497">
        <v>6.9</v>
      </c>
      <c r="E60" s="497">
        <v>1.8</v>
      </c>
      <c r="F60" s="497">
        <v>7.1</v>
      </c>
      <c r="G60" s="497">
        <v>7</v>
      </c>
      <c r="H60" s="653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7.1</v>
      </c>
      <c r="N60" s="668">
        <v>7.2</v>
      </c>
      <c r="O60" s="669">
        <v>7</v>
      </c>
      <c r="P60" s="679">
        <v>7.4</v>
      </c>
      <c r="Q60" s="667">
        <v>7.2</v>
      </c>
      <c r="R60" s="668">
        <v>7.2</v>
      </c>
      <c r="S60" s="668">
        <v>7.1</v>
      </c>
      <c r="T60" s="668">
        <v>1.6</v>
      </c>
      <c r="U60" s="668">
        <v>7.1</v>
      </c>
      <c r="V60" s="668">
        <v>7.2</v>
      </c>
      <c r="W60" s="669">
        <v>6.8</v>
      </c>
      <c r="X60" s="673">
        <v>5.2</v>
      </c>
      <c r="Y60" s="263">
        <f t="shared" ref="Y60:Y66" si="24">SUM(B60:X60)</f>
        <v>144.6</v>
      </c>
      <c r="Z60" s="643">
        <f>Y60-X60-P60</f>
        <v>132</v>
      </c>
      <c r="AA60" s="642"/>
    </row>
    <row r="61" spans="1:27" ht="33.75" customHeight="1" x14ac:dyDescent="0.25">
      <c r="A61" s="146" t="s">
        <v>24</v>
      </c>
      <c r="B61" s="133">
        <v>6.8</v>
      </c>
      <c r="C61" s="497">
        <v>6.5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7.1</v>
      </c>
      <c r="O61" s="498">
        <v>6.9</v>
      </c>
      <c r="P61" s="680">
        <v>7.4</v>
      </c>
      <c r="Q61" s="133">
        <v>7.1</v>
      </c>
      <c r="R61" s="497">
        <v>7.1</v>
      </c>
      <c r="S61" s="497">
        <v>6.9</v>
      </c>
      <c r="T61" s="497">
        <v>1.5</v>
      </c>
      <c r="U61" s="497">
        <v>6.9</v>
      </c>
      <c r="V61" s="497">
        <v>7</v>
      </c>
      <c r="W61" s="498">
        <v>6.9</v>
      </c>
      <c r="X61" s="674">
        <v>5</v>
      </c>
      <c r="Y61" s="263">
        <f t="shared" si="24"/>
        <v>142.00000000000003</v>
      </c>
      <c r="Z61" s="643">
        <f>Y61-X61-P61</f>
        <v>129.60000000000002</v>
      </c>
      <c r="AA61" s="642"/>
    </row>
    <row r="62" spans="1:27" ht="33.75" customHeight="1" x14ac:dyDescent="0.25">
      <c r="A62" s="146" t="s">
        <v>20</v>
      </c>
      <c r="B62" s="133">
        <v>6.8</v>
      </c>
      <c r="C62" s="497">
        <v>6.5</v>
      </c>
      <c r="D62" s="497">
        <v>6.8</v>
      </c>
      <c r="E62" s="497">
        <v>1.7</v>
      </c>
      <c r="F62" s="497">
        <v>7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680"/>
      <c r="Q62" s="133">
        <v>7.1</v>
      </c>
      <c r="R62" s="497">
        <v>7.1</v>
      </c>
      <c r="S62" s="497">
        <v>7</v>
      </c>
      <c r="T62" s="497">
        <v>1.6</v>
      </c>
      <c r="U62" s="497">
        <v>7</v>
      </c>
      <c r="V62" s="497">
        <v>7</v>
      </c>
      <c r="W62" s="498">
        <v>6.9</v>
      </c>
      <c r="X62" s="674"/>
      <c r="Y62" s="703">
        <f t="shared" si="24"/>
        <v>130.1</v>
      </c>
      <c r="Z62" s="642"/>
      <c r="AA62" s="642"/>
    </row>
    <row r="63" spans="1:27" ht="33.75" customHeight="1" x14ac:dyDescent="0.25">
      <c r="A63" s="146" t="s">
        <v>28</v>
      </c>
      <c r="B63" s="133">
        <v>6.8</v>
      </c>
      <c r="C63" s="497">
        <v>6.5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80"/>
      <c r="Q63" s="133">
        <v>7.1</v>
      </c>
      <c r="R63" s="497">
        <v>7.1</v>
      </c>
      <c r="S63" s="497">
        <v>7</v>
      </c>
      <c r="T63" s="497">
        <v>1.6</v>
      </c>
      <c r="U63" s="497">
        <v>7</v>
      </c>
      <c r="V63" s="497">
        <v>7.1</v>
      </c>
      <c r="W63" s="498">
        <v>6.9</v>
      </c>
      <c r="X63" s="674"/>
      <c r="Y63" s="703">
        <f t="shared" si="24"/>
        <v>130.29999999999998</v>
      </c>
      <c r="Z63" s="642"/>
      <c r="AA63" s="642"/>
    </row>
    <row r="64" spans="1:27" ht="33.75" customHeight="1" x14ac:dyDescent="0.25">
      <c r="A64" s="146" t="s">
        <v>21</v>
      </c>
      <c r="B64" s="133">
        <v>6.9</v>
      </c>
      <c r="C64" s="497">
        <v>6.5</v>
      </c>
      <c r="D64" s="497">
        <v>6.8</v>
      </c>
      <c r="E64" s="497">
        <v>1.7</v>
      </c>
      <c r="F64" s="497">
        <v>7</v>
      </c>
      <c r="G64" s="497">
        <v>7</v>
      </c>
      <c r="H64" s="653">
        <v>7</v>
      </c>
      <c r="I64" s="133">
        <v>7</v>
      </c>
      <c r="J64" s="497">
        <v>7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680"/>
      <c r="Q64" s="133">
        <v>7.1</v>
      </c>
      <c r="R64" s="497">
        <v>7.1</v>
      </c>
      <c r="S64" s="497">
        <v>7</v>
      </c>
      <c r="T64" s="497">
        <v>1.6</v>
      </c>
      <c r="U64" s="497">
        <v>7</v>
      </c>
      <c r="V64" s="497">
        <v>7.1</v>
      </c>
      <c r="W64" s="498">
        <v>7</v>
      </c>
      <c r="X64" s="674"/>
      <c r="Y64" s="703">
        <f t="shared" si="24"/>
        <v>130.89999999999998</v>
      </c>
      <c r="Z64" s="642"/>
      <c r="AA64" s="642"/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680"/>
      <c r="Q65" s="133">
        <v>7.1</v>
      </c>
      <c r="R65" s="497">
        <v>7.1</v>
      </c>
      <c r="S65" s="497">
        <v>7</v>
      </c>
      <c r="T65" s="497">
        <v>1.6</v>
      </c>
      <c r="U65" s="497">
        <v>7</v>
      </c>
      <c r="V65" s="497">
        <v>7.1</v>
      </c>
      <c r="W65" s="498">
        <v>7</v>
      </c>
      <c r="X65" s="674"/>
      <c r="Y65" s="703">
        <f t="shared" si="24"/>
        <v>131.39999999999998</v>
      </c>
      <c r="Z65" s="642"/>
      <c r="AA65" s="642"/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5.7</v>
      </c>
      <c r="E66" s="497">
        <v>1.8</v>
      </c>
      <c r="F66" s="497">
        <v>7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7.1</v>
      </c>
      <c r="O66" s="672">
        <v>7</v>
      </c>
      <c r="P66" s="681"/>
      <c r="Q66" s="670">
        <v>7.2</v>
      </c>
      <c r="R66" s="671">
        <v>7.2</v>
      </c>
      <c r="S66" s="671">
        <v>7</v>
      </c>
      <c r="T66" s="671">
        <v>1.6</v>
      </c>
      <c r="U66" s="671">
        <v>7</v>
      </c>
      <c r="V66" s="671">
        <v>7.1</v>
      </c>
      <c r="W66" s="672">
        <v>7</v>
      </c>
      <c r="X66" s="675"/>
      <c r="Y66" s="263">
        <f t="shared" si="24"/>
        <v>130.39999999999998</v>
      </c>
      <c r="Z66" s="642"/>
      <c r="AA66" s="642"/>
    </row>
    <row r="67" spans="1:27" ht="33.75" customHeight="1" x14ac:dyDescent="0.25">
      <c r="A67" s="182" t="s">
        <v>9</v>
      </c>
      <c r="B67" s="122">
        <f>SUM(B60:B66)</f>
        <v>48</v>
      </c>
      <c r="C67" s="120">
        <f>SUM(C60:C66)</f>
        <v>45.800000000000004</v>
      </c>
      <c r="D67" s="120">
        <f t="shared" ref="D67:X67" si="25">SUM(D60:D66)</f>
        <v>46.7</v>
      </c>
      <c r="E67" s="120">
        <f t="shared" si="25"/>
        <v>12.200000000000001</v>
      </c>
      <c r="F67" s="120">
        <f t="shared" si="25"/>
        <v>49</v>
      </c>
      <c r="G67" s="120">
        <f t="shared" si="25"/>
        <v>48.7</v>
      </c>
      <c r="H67" s="121">
        <f t="shared" si="25"/>
        <v>48.7</v>
      </c>
      <c r="I67" s="200">
        <f t="shared" si="25"/>
        <v>49.300000000000004</v>
      </c>
      <c r="J67" s="201">
        <f t="shared" si="25"/>
        <v>49.300000000000004</v>
      </c>
      <c r="K67" s="201">
        <f t="shared" si="25"/>
        <v>50.2</v>
      </c>
      <c r="L67" s="201">
        <f t="shared" si="25"/>
        <v>12.300000000000002</v>
      </c>
      <c r="M67" s="201">
        <f t="shared" si="25"/>
        <v>49</v>
      </c>
      <c r="N67" s="201">
        <f t="shared" si="25"/>
        <v>49.800000000000004</v>
      </c>
      <c r="O67" s="229">
        <f t="shared" si="25"/>
        <v>48.7</v>
      </c>
      <c r="P67" s="678">
        <f t="shared" si="25"/>
        <v>14.8</v>
      </c>
      <c r="Q67" s="200">
        <f t="shared" si="25"/>
        <v>49.900000000000006</v>
      </c>
      <c r="R67" s="201">
        <f t="shared" si="25"/>
        <v>49.900000000000006</v>
      </c>
      <c r="S67" s="201">
        <f t="shared" si="25"/>
        <v>49</v>
      </c>
      <c r="T67" s="201">
        <f t="shared" si="25"/>
        <v>11.1</v>
      </c>
      <c r="U67" s="201">
        <f t="shared" si="25"/>
        <v>49</v>
      </c>
      <c r="V67" s="201">
        <f t="shared" si="25"/>
        <v>49.6</v>
      </c>
      <c r="W67" s="229">
        <f t="shared" si="25"/>
        <v>48.5</v>
      </c>
      <c r="X67" s="678">
        <f t="shared" si="25"/>
        <v>10.199999999999999</v>
      </c>
      <c r="Y67" s="326">
        <f>SUM(Y60:Y66)</f>
        <v>939.69999999999993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149.65758878802356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44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897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6.8619000000000012</v>
      </c>
      <c r="C70" s="30">
        <f t="shared" si="26"/>
        <v>6.5352999999999994</v>
      </c>
      <c r="D70" s="30">
        <f t="shared" si="26"/>
        <v>6.6092000000000013</v>
      </c>
      <c r="E70" s="30">
        <f t="shared" si="26"/>
        <v>1.7486000000000002</v>
      </c>
      <c r="F70" s="30">
        <f t="shared" si="26"/>
        <v>6.9944000000000006</v>
      </c>
      <c r="G70" s="30">
        <f t="shared" si="26"/>
        <v>6.9528000000000008</v>
      </c>
      <c r="H70" s="30">
        <f t="shared" si="26"/>
        <v>6.9528000000000008</v>
      </c>
      <c r="I70" s="30">
        <f t="shared" si="26"/>
        <v>7.0359999999999996</v>
      </c>
      <c r="J70" s="30">
        <f t="shared" si="26"/>
        <v>7.0359999999999996</v>
      </c>
      <c r="K70" s="30">
        <f t="shared" si="26"/>
        <v>7.1884999999999994</v>
      </c>
      <c r="L70" s="30">
        <f t="shared" si="26"/>
        <v>1.7563</v>
      </c>
      <c r="M70" s="30">
        <f t="shared" si="26"/>
        <v>6.9944000000000006</v>
      </c>
      <c r="N70" s="30">
        <f t="shared" si="26"/>
        <v>7.0939999999999994</v>
      </c>
      <c r="O70" s="30">
        <f t="shared" si="26"/>
        <v>6.9528000000000008</v>
      </c>
      <c r="P70" s="30">
        <f t="shared" si="26"/>
        <v>6.8344000000000005</v>
      </c>
      <c r="Q70" s="30">
        <f t="shared" si="26"/>
        <v>7.1191999999999993</v>
      </c>
      <c r="R70" s="30">
        <f t="shared" si="26"/>
        <v>7.1191999999999993</v>
      </c>
      <c r="S70" s="30">
        <f t="shared" si="26"/>
        <v>6.9944000000000006</v>
      </c>
      <c r="T70" s="30">
        <f t="shared" si="26"/>
        <v>1.6060000000000003</v>
      </c>
      <c r="U70" s="30">
        <f t="shared" si="26"/>
        <v>6.9944000000000006</v>
      </c>
      <c r="V70" s="30">
        <f t="shared" si="26"/>
        <v>7.0824999999999987</v>
      </c>
      <c r="W70" s="30">
        <f t="shared" si="26"/>
        <v>6.9620000000000006</v>
      </c>
      <c r="X70" s="30">
        <f t="shared" si="26"/>
        <v>5.0831999999999997</v>
      </c>
      <c r="Y70" s="329">
        <f>((Y67*1000)/7)/Y69</f>
        <v>149.65758878802356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27">((D69*D68)*7)/1000</f>
        <v>46.746000000000002</v>
      </c>
      <c r="E71" s="282">
        <f t="shared" si="27"/>
        <v>12.243</v>
      </c>
      <c r="F71" s="282">
        <f t="shared" si="27"/>
        <v>48.972000000000001</v>
      </c>
      <c r="G71" s="282">
        <f t="shared" si="27"/>
        <v>48.664000000000001</v>
      </c>
      <c r="H71" s="284">
        <f t="shared" si="27"/>
        <v>48.664000000000001</v>
      </c>
      <c r="I71" s="285">
        <f t="shared" si="27"/>
        <v>49.28</v>
      </c>
      <c r="J71" s="282">
        <f t="shared" si="27"/>
        <v>49.28</v>
      </c>
      <c r="K71" s="282">
        <f t="shared" si="27"/>
        <v>50.2425</v>
      </c>
      <c r="L71" s="282">
        <f t="shared" si="27"/>
        <v>12.281499999999999</v>
      </c>
      <c r="M71" s="282">
        <f t="shared" si="27"/>
        <v>48.972000000000001</v>
      </c>
      <c r="N71" s="282">
        <f t="shared" si="27"/>
        <v>49.77</v>
      </c>
      <c r="O71" s="283">
        <f t="shared" si="27"/>
        <v>48.664000000000001</v>
      </c>
      <c r="P71" s="619">
        <f t="shared" si="27"/>
        <v>48.972000000000001</v>
      </c>
      <c r="Q71" s="285">
        <f t="shared" si="27"/>
        <v>49.896000000000001</v>
      </c>
      <c r="R71" s="282">
        <f t="shared" si="27"/>
        <v>49.896000000000001</v>
      </c>
      <c r="S71" s="282">
        <f t="shared" si="27"/>
        <v>48.972000000000001</v>
      </c>
      <c r="T71" s="282">
        <f t="shared" si="27"/>
        <v>11.13</v>
      </c>
      <c r="U71" s="282">
        <f t="shared" si="27"/>
        <v>48.972000000000001</v>
      </c>
      <c r="V71" s="282">
        <f t="shared" si="27"/>
        <v>49.612499999999997</v>
      </c>
      <c r="W71" s="283">
        <f t="shared" si="27"/>
        <v>48.51</v>
      </c>
      <c r="X71" s="619">
        <f t="shared" si="27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X72" si="28">+(C67/C69)/7*1000</f>
        <v>159.58188153310107</v>
      </c>
      <c r="D72" s="38">
        <f t="shared" si="28"/>
        <v>158.84353741496599</v>
      </c>
      <c r="E72" s="38">
        <f>+(E67/E69)/7*1000</f>
        <v>158.44155844155844</v>
      </c>
      <c r="F72" s="38">
        <f t="shared" si="28"/>
        <v>159.09090909090909</v>
      </c>
      <c r="G72" s="38">
        <f t="shared" si="28"/>
        <v>158.11688311688312</v>
      </c>
      <c r="H72" s="39">
        <f t="shared" si="28"/>
        <v>158.11688311688312</v>
      </c>
      <c r="I72" s="67">
        <f t="shared" si="28"/>
        <v>160.06493506493507</v>
      </c>
      <c r="J72" s="38">
        <f t="shared" si="28"/>
        <v>160.06493506493507</v>
      </c>
      <c r="K72" s="38">
        <f t="shared" si="28"/>
        <v>159.36507936507937</v>
      </c>
      <c r="L72" s="38">
        <f t="shared" si="28"/>
        <v>159.74025974025977</v>
      </c>
      <c r="M72" s="38">
        <f t="shared" si="28"/>
        <v>159.09090909090909</v>
      </c>
      <c r="N72" s="38">
        <f t="shared" si="28"/>
        <v>158.0952380952381</v>
      </c>
      <c r="O72" s="158">
        <f t="shared" si="28"/>
        <v>158.11688311688312</v>
      </c>
      <c r="P72" s="255">
        <f t="shared" si="28"/>
        <v>48.051948051948052</v>
      </c>
      <c r="Q72" s="67">
        <f t="shared" si="28"/>
        <v>162.01298701298703</v>
      </c>
      <c r="R72" s="38">
        <f t="shared" si="28"/>
        <v>162.01298701298703</v>
      </c>
      <c r="S72" s="38">
        <f t="shared" si="28"/>
        <v>159.09090909090909</v>
      </c>
      <c r="T72" s="38">
        <f t="shared" si="28"/>
        <v>158.57142857142856</v>
      </c>
      <c r="U72" s="38">
        <f t="shared" si="28"/>
        <v>159.09090909090909</v>
      </c>
      <c r="V72" s="38">
        <f t="shared" si="28"/>
        <v>157.46031746031747</v>
      </c>
      <c r="W72" s="158">
        <f t="shared" si="28"/>
        <v>157.46753246753246</v>
      </c>
      <c r="X72" s="255">
        <f t="shared" si="28"/>
        <v>45.535714285714285</v>
      </c>
      <c r="Y72" s="237"/>
      <c r="Z72" s="243"/>
    </row>
    <row r="73" spans="1:27" ht="33.75" customHeight="1" x14ac:dyDescent="0.25">
      <c r="A73" s="41"/>
      <c r="B73" s="645">
        <f t="shared" ref="B73:X74" si="29">B71-B67</f>
        <v>9.5000000000027285E-3</v>
      </c>
      <c r="C73" s="645">
        <f t="shared" si="29"/>
        <v>-2.3500000000005627E-2</v>
      </c>
      <c r="D73" s="645">
        <f t="shared" si="29"/>
        <v>4.5999999999999375E-2</v>
      </c>
      <c r="E73" s="645">
        <f t="shared" si="29"/>
        <v>4.2999999999999261E-2</v>
      </c>
      <c r="F73" s="645">
        <f t="shared" si="29"/>
        <v>-2.7999999999998693E-2</v>
      </c>
      <c r="G73" s="645">
        <f t="shared" si="29"/>
        <v>-3.6000000000001364E-2</v>
      </c>
      <c r="H73" s="645">
        <f t="shared" si="29"/>
        <v>-3.6000000000001364E-2</v>
      </c>
      <c r="I73" s="645">
        <f t="shared" si="29"/>
        <v>-2.0000000000003126E-2</v>
      </c>
      <c r="J73" s="645">
        <f t="shared" si="29"/>
        <v>-2.0000000000003126E-2</v>
      </c>
      <c r="K73" s="645">
        <f t="shared" si="29"/>
        <v>4.2499999999996874E-2</v>
      </c>
      <c r="L73" s="645">
        <f t="shared" si="29"/>
        <v>-1.850000000000307E-2</v>
      </c>
      <c r="M73" s="645">
        <f t="shared" si="29"/>
        <v>-2.7999999999998693E-2</v>
      </c>
      <c r="N73" s="645">
        <f t="shared" si="29"/>
        <v>-3.0000000000001137E-2</v>
      </c>
      <c r="O73" s="645">
        <f t="shared" si="29"/>
        <v>-3.6000000000001364E-2</v>
      </c>
      <c r="P73" s="645">
        <f t="shared" si="29"/>
        <v>34.171999999999997</v>
      </c>
      <c r="Q73" s="645">
        <f t="shared" si="29"/>
        <v>-4.0000000000048885E-3</v>
      </c>
      <c r="R73" s="645">
        <f t="shared" si="29"/>
        <v>-4.0000000000048885E-3</v>
      </c>
      <c r="S73" s="645">
        <f t="shared" si="29"/>
        <v>-2.7999999999998693E-2</v>
      </c>
      <c r="T73" s="645">
        <f t="shared" si="29"/>
        <v>3.0000000000001137E-2</v>
      </c>
      <c r="U73" s="645">
        <f t="shared" si="29"/>
        <v>-2.7999999999998693E-2</v>
      </c>
      <c r="V73" s="645">
        <f t="shared" si="29"/>
        <v>1.2499999999995737E-2</v>
      </c>
      <c r="W73" s="645">
        <f t="shared" si="29"/>
        <v>9.9999999999980105E-3</v>
      </c>
      <c r="X73" s="645">
        <f t="shared" si="29"/>
        <v>25.416</v>
      </c>
      <c r="Y73" s="14"/>
      <c r="Z73" s="243"/>
    </row>
    <row r="74" spans="1:27" ht="33.75" customHeight="1" x14ac:dyDescent="0.25">
      <c r="A74" s="41"/>
      <c r="B74" s="42">
        <f>B72-B68</f>
        <v>-3.1561461794041179E-2</v>
      </c>
      <c r="C74" s="42">
        <f t="shared" si="29"/>
        <v>8.1881533101068271E-2</v>
      </c>
      <c r="D74" s="42">
        <f t="shared" si="29"/>
        <v>-0.15646258503400645</v>
      </c>
      <c r="E74" s="42">
        <f t="shared" si="29"/>
        <v>-0.55844155844155807</v>
      </c>
      <c r="F74" s="42">
        <f t="shared" si="29"/>
        <v>9.0909090909093493E-2</v>
      </c>
      <c r="G74" s="42">
        <f t="shared" si="29"/>
        <v>0.11688311688311614</v>
      </c>
      <c r="H74" s="42">
        <f t="shared" si="29"/>
        <v>0.11688311688311614</v>
      </c>
      <c r="I74" s="42">
        <f t="shared" si="29"/>
        <v>6.4935064935070841E-2</v>
      </c>
      <c r="J74" s="42">
        <f t="shared" si="29"/>
        <v>6.4935064935070841E-2</v>
      </c>
      <c r="K74" s="42">
        <f t="shared" si="29"/>
        <v>-0.13492063492063266</v>
      </c>
      <c r="L74" s="42">
        <f t="shared" si="29"/>
        <v>0.24025974025977348</v>
      </c>
      <c r="M74" s="42">
        <f t="shared" si="29"/>
        <v>9.0909090909093493E-2</v>
      </c>
      <c r="N74" s="42">
        <f t="shared" si="29"/>
        <v>9.5238095238102005E-2</v>
      </c>
      <c r="O74" s="42">
        <f t="shared" si="29"/>
        <v>0.11688311688311614</v>
      </c>
      <c r="P74" s="42">
        <f t="shared" si="29"/>
        <v>-110.94805194805195</v>
      </c>
      <c r="Q74" s="42">
        <f t="shared" si="29"/>
        <v>1.2987012987025537E-2</v>
      </c>
      <c r="R74" s="42">
        <f>R72-R68</f>
        <v>1.2987012987025537E-2</v>
      </c>
      <c r="S74" s="42">
        <f t="shared" si="29"/>
        <v>9.0909090909093493E-2</v>
      </c>
      <c r="T74" s="42">
        <f t="shared" si="29"/>
        <v>-0.42857142857144481</v>
      </c>
      <c r="U74" s="42">
        <f t="shared" si="29"/>
        <v>9.0909090909093493E-2</v>
      </c>
      <c r="V74" s="42">
        <f t="shared" si="29"/>
        <v>-3.968253968253066E-2</v>
      </c>
      <c r="W74" s="42">
        <f t="shared" si="29"/>
        <v>-3.246753246753542E-2</v>
      </c>
      <c r="X74" s="42">
        <f t="shared" si="29"/>
        <v>-113.46428571428572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74"/>
  <dimension ref="A1:Z237"/>
  <sheetViews>
    <sheetView topLeftCell="A36" zoomScale="30" zoomScaleNormal="30" workbookViewId="0">
      <selection activeCell="J45" sqref="J4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53</v>
      </c>
      <c r="Q11" s="1022"/>
      <c r="R11" s="6"/>
      <c r="S11" s="1" t="s">
        <v>6</v>
      </c>
      <c r="T11" s="95">
        <v>45756</v>
      </c>
      <c r="U11" s="95">
        <f>T11+6</f>
        <v>45762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</v>
      </c>
      <c r="C18" s="282">
        <v>80.7</v>
      </c>
      <c r="D18" s="282">
        <v>83.8</v>
      </c>
      <c r="E18" s="600">
        <v>14.4</v>
      </c>
      <c r="F18" s="282">
        <v>85.2</v>
      </c>
      <c r="G18" s="282">
        <v>82.5</v>
      </c>
      <c r="H18" s="284">
        <v>84.1</v>
      </c>
      <c r="I18" s="285">
        <v>87</v>
      </c>
      <c r="J18" s="282">
        <v>89.2</v>
      </c>
      <c r="K18" s="282">
        <v>91.1</v>
      </c>
      <c r="L18" s="282">
        <v>18.600000000000001</v>
      </c>
      <c r="M18" s="486">
        <v>87.9</v>
      </c>
      <c r="N18" s="282">
        <v>88.6</v>
      </c>
      <c r="O18" s="282">
        <v>90.4</v>
      </c>
      <c r="P18" s="281">
        <v>90.8</v>
      </c>
      <c r="Q18" s="486">
        <v>89.6</v>
      </c>
      <c r="R18" s="486">
        <v>89.6</v>
      </c>
      <c r="S18" s="600">
        <v>20.5</v>
      </c>
      <c r="T18" s="282">
        <v>90.1</v>
      </c>
      <c r="U18" s="282">
        <v>89.1</v>
      </c>
      <c r="V18" s="284">
        <v>94.2</v>
      </c>
      <c r="W18" s="596">
        <f t="shared" ref="W18:W23" si="0">SUM(B18:V18)</f>
        <v>1631.3999999999996</v>
      </c>
      <c r="Y18" s="697">
        <v>2</v>
      </c>
    </row>
    <row r="19" spans="1:25" ht="39.950000000000003" customHeight="1" x14ac:dyDescent="0.25">
      <c r="A19" s="146" t="s">
        <v>24</v>
      </c>
      <c r="B19" s="281">
        <v>85.8</v>
      </c>
      <c r="C19" s="282">
        <v>84.4</v>
      </c>
      <c r="D19" s="282">
        <v>84.4</v>
      </c>
      <c r="E19" s="282">
        <v>17.100000000000001</v>
      </c>
      <c r="F19" s="282">
        <v>85.4</v>
      </c>
      <c r="G19" s="486">
        <v>84.2</v>
      </c>
      <c r="H19" s="601">
        <v>86.3</v>
      </c>
      <c r="I19" s="285">
        <v>89.6</v>
      </c>
      <c r="J19" s="282">
        <v>89.8</v>
      </c>
      <c r="K19" s="282">
        <v>91.6</v>
      </c>
      <c r="L19" s="486">
        <v>20</v>
      </c>
      <c r="M19" s="282">
        <v>90</v>
      </c>
      <c r="N19" s="282">
        <v>90.7</v>
      </c>
      <c r="O19" s="282">
        <v>91.5</v>
      </c>
      <c r="P19" s="281">
        <v>91.1</v>
      </c>
      <c r="Q19" s="282">
        <v>90.8</v>
      </c>
      <c r="R19" s="282">
        <v>90.1</v>
      </c>
      <c r="S19" s="282">
        <v>22</v>
      </c>
      <c r="T19" s="282">
        <v>90.3</v>
      </c>
      <c r="U19" s="282">
        <v>90</v>
      </c>
      <c r="V19" s="284">
        <v>90.3</v>
      </c>
      <c r="W19" s="538">
        <f t="shared" ref="W19" si="1">SUM(B19:V19)</f>
        <v>1655.3999999999999</v>
      </c>
      <c r="Y19" s="698">
        <v>3</v>
      </c>
    </row>
    <row r="20" spans="1:25" ht="39.75" customHeight="1" x14ac:dyDescent="0.25">
      <c r="A20" s="146" t="s">
        <v>20</v>
      </c>
      <c r="B20" s="281">
        <v>85.7</v>
      </c>
      <c r="C20" s="282">
        <v>84.4</v>
      </c>
      <c r="D20" s="282">
        <v>84.4</v>
      </c>
      <c r="E20" s="282">
        <v>16.8</v>
      </c>
      <c r="F20" s="282">
        <v>85.4</v>
      </c>
      <c r="G20" s="282">
        <v>84.1</v>
      </c>
      <c r="H20" s="284">
        <v>86</v>
      </c>
      <c r="I20" s="285">
        <v>89.6</v>
      </c>
      <c r="J20" s="282">
        <v>89.8</v>
      </c>
      <c r="K20" s="282">
        <v>91.6</v>
      </c>
      <c r="L20" s="600">
        <v>19.7</v>
      </c>
      <c r="M20" s="282">
        <v>90</v>
      </c>
      <c r="N20" s="282">
        <v>90.7</v>
      </c>
      <c r="O20" s="486">
        <v>91.5</v>
      </c>
      <c r="P20" s="485">
        <v>91.1</v>
      </c>
      <c r="Q20" s="282">
        <v>90.7</v>
      </c>
      <c r="R20" s="282">
        <v>90</v>
      </c>
      <c r="S20" s="486">
        <v>21.7</v>
      </c>
      <c r="T20" s="282">
        <v>90.3</v>
      </c>
      <c r="U20" s="282">
        <v>90</v>
      </c>
      <c r="V20" s="284">
        <v>90.3</v>
      </c>
      <c r="W20" s="538">
        <f t="shared" si="0"/>
        <v>1653.8000000000002</v>
      </c>
      <c r="Y20" s="699">
        <v>4</v>
      </c>
    </row>
    <row r="21" spans="1:25" ht="39.950000000000003" customHeight="1" x14ac:dyDescent="0.25">
      <c r="A21" s="146" t="s">
        <v>28</v>
      </c>
      <c r="B21" s="281">
        <v>85.7</v>
      </c>
      <c r="C21" s="282">
        <v>84.4</v>
      </c>
      <c r="D21" s="282">
        <v>84.4</v>
      </c>
      <c r="E21" s="282">
        <v>16.8</v>
      </c>
      <c r="F21" s="486">
        <v>85.4</v>
      </c>
      <c r="G21" s="282">
        <v>84.1</v>
      </c>
      <c r="H21" s="284">
        <v>86</v>
      </c>
      <c r="I21" s="285">
        <v>89.6</v>
      </c>
      <c r="J21" s="486">
        <v>89.8</v>
      </c>
      <c r="K21" s="282">
        <v>91.6</v>
      </c>
      <c r="L21" s="282">
        <v>18.7</v>
      </c>
      <c r="M21" s="282">
        <v>89.9</v>
      </c>
      <c r="N21" s="282">
        <v>90.7</v>
      </c>
      <c r="O21" s="282">
        <v>91.4</v>
      </c>
      <c r="P21" s="281">
        <v>91</v>
      </c>
      <c r="Q21" s="282">
        <v>90.7</v>
      </c>
      <c r="R21" s="282">
        <v>90</v>
      </c>
      <c r="S21" s="282">
        <v>21.6</v>
      </c>
      <c r="T21" s="282">
        <v>90.3</v>
      </c>
      <c r="U21" s="282">
        <v>90</v>
      </c>
      <c r="V21" s="284">
        <v>90.3</v>
      </c>
      <c r="W21" s="538">
        <f t="shared" si="0"/>
        <v>1652.4</v>
      </c>
      <c r="Y21" s="700">
        <v>5</v>
      </c>
    </row>
    <row r="22" spans="1:25" ht="39.950000000000003" customHeight="1" x14ac:dyDescent="0.25">
      <c r="A22" s="146" t="s">
        <v>21</v>
      </c>
      <c r="B22" s="281">
        <v>85.3</v>
      </c>
      <c r="C22" s="282">
        <v>84.1</v>
      </c>
      <c r="D22" s="282">
        <v>84.1</v>
      </c>
      <c r="E22" s="282">
        <v>16.399999999999999</v>
      </c>
      <c r="F22" s="282">
        <v>85.1</v>
      </c>
      <c r="G22" s="282">
        <v>83.7</v>
      </c>
      <c r="H22" s="284">
        <v>85.6</v>
      </c>
      <c r="I22" s="285">
        <v>89.4</v>
      </c>
      <c r="J22" s="282">
        <v>89.4</v>
      </c>
      <c r="K22" s="282">
        <v>91.4</v>
      </c>
      <c r="L22" s="282">
        <v>19.2</v>
      </c>
      <c r="M22" s="282">
        <v>89.8</v>
      </c>
      <c r="N22" s="282">
        <v>90.9</v>
      </c>
      <c r="O22" s="282">
        <v>91</v>
      </c>
      <c r="P22" s="281">
        <v>90.6</v>
      </c>
      <c r="Q22" s="282">
        <v>90.2</v>
      </c>
      <c r="R22" s="282">
        <v>89.5</v>
      </c>
      <c r="S22" s="282">
        <v>21</v>
      </c>
      <c r="T22" s="282">
        <v>90.2</v>
      </c>
      <c r="U22" s="282">
        <v>89.7</v>
      </c>
      <c r="V22" s="284">
        <v>90.2</v>
      </c>
      <c r="W22" s="538">
        <f t="shared" si="0"/>
        <v>1646.8</v>
      </c>
      <c r="Y22" s="701">
        <v>6</v>
      </c>
    </row>
    <row r="23" spans="1:25" ht="39.950000000000003" customHeight="1" x14ac:dyDescent="0.25">
      <c r="A23" s="146" t="s">
        <v>22</v>
      </c>
      <c r="B23" s="281">
        <v>85.3</v>
      </c>
      <c r="C23" s="282">
        <v>84.1</v>
      </c>
      <c r="D23" s="282">
        <v>84.1</v>
      </c>
      <c r="E23" s="282">
        <v>16.399999999999999</v>
      </c>
      <c r="F23" s="282">
        <v>85.1</v>
      </c>
      <c r="G23" s="282">
        <v>83.7</v>
      </c>
      <c r="H23" s="284">
        <v>85.6</v>
      </c>
      <c r="I23" s="285">
        <v>89.3</v>
      </c>
      <c r="J23" s="282">
        <v>89.4</v>
      </c>
      <c r="K23" s="282">
        <v>91.4</v>
      </c>
      <c r="L23" s="282">
        <v>18.899999999999999</v>
      </c>
      <c r="M23" s="282">
        <v>89.8</v>
      </c>
      <c r="N23" s="282">
        <v>90.9</v>
      </c>
      <c r="O23" s="282">
        <v>91</v>
      </c>
      <c r="P23" s="281">
        <v>90.6</v>
      </c>
      <c r="Q23" s="282">
        <v>90.2</v>
      </c>
      <c r="R23" s="282">
        <v>89.5</v>
      </c>
      <c r="S23" s="282">
        <v>20.7</v>
      </c>
      <c r="T23" s="282">
        <v>90.2</v>
      </c>
      <c r="U23" s="282">
        <v>89.7</v>
      </c>
      <c r="V23" s="284">
        <v>90.2</v>
      </c>
      <c r="W23" s="538">
        <f t="shared" si="0"/>
        <v>1646.1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85.3</v>
      </c>
      <c r="C24" s="282">
        <v>84.1</v>
      </c>
      <c r="D24" s="282">
        <v>84.1</v>
      </c>
      <c r="E24" s="282">
        <v>16.399999999999999</v>
      </c>
      <c r="F24" s="282">
        <v>85.1</v>
      </c>
      <c r="G24" s="282">
        <v>83.7</v>
      </c>
      <c r="H24" s="284">
        <v>85.6</v>
      </c>
      <c r="I24" s="285">
        <v>89.3</v>
      </c>
      <c r="J24" s="282">
        <v>89.4</v>
      </c>
      <c r="K24" s="282">
        <v>91.4</v>
      </c>
      <c r="L24" s="282">
        <v>18.8</v>
      </c>
      <c r="M24" s="282">
        <v>89.8</v>
      </c>
      <c r="N24" s="282">
        <v>90.8</v>
      </c>
      <c r="O24" s="282">
        <v>91</v>
      </c>
      <c r="P24" s="281">
        <v>90.6</v>
      </c>
      <c r="Q24" s="282">
        <v>90.2</v>
      </c>
      <c r="R24" s="282">
        <v>89.5</v>
      </c>
      <c r="S24" s="282">
        <v>20.7</v>
      </c>
      <c r="T24" s="282">
        <v>90.2</v>
      </c>
      <c r="U24" s="282">
        <v>89.7</v>
      </c>
      <c r="V24" s="284">
        <v>90.2</v>
      </c>
      <c r="W24" s="538">
        <f>SUM(B24:V24)</f>
        <v>1645.8999999999999</v>
      </c>
    </row>
    <row r="25" spans="1:25" ht="41.45" customHeight="1" x14ac:dyDescent="0.25">
      <c r="A25" s="182" t="s">
        <v>9</v>
      </c>
      <c r="B25" s="122">
        <f>SUM(B18:B24)</f>
        <v>597.1</v>
      </c>
      <c r="C25" s="120">
        <f>SUM(C18:C24)</f>
        <v>586.20000000000005</v>
      </c>
      <c r="D25" s="120">
        <f t="shared" ref="D25:V25" si="2">SUM(D18:D24)</f>
        <v>589.30000000000007</v>
      </c>
      <c r="E25" s="120">
        <f>SUM(E18:E24)</f>
        <v>114.30000000000001</v>
      </c>
      <c r="F25" s="120">
        <f t="shared" si="2"/>
        <v>596.70000000000005</v>
      </c>
      <c r="G25" s="120">
        <f t="shared" si="2"/>
        <v>586</v>
      </c>
      <c r="H25" s="121">
        <f t="shared" si="2"/>
        <v>599.20000000000005</v>
      </c>
      <c r="I25" s="122">
        <f t="shared" si="2"/>
        <v>623.79999999999984</v>
      </c>
      <c r="J25" s="120">
        <f t="shared" si="2"/>
        <v>626.79999999999995</v>
      </c>
      <c r="K25" s="120">
        <f t="shared" si="2"/>
        <v>640.09999999999991</v>
      </c>
      <c r="L25" s="120">
        <f t="shared" si="2"/>
        <v>133.9</v>
      </c>
      <c r="M25" s="120">
        <f t="shared" si="2"/>
        <v>627.19999999999993</v>
      </c>
      <c r="N25" s="120">
        <f t="shared" si="2"/>
        <v>633.29999999999995</v>
      </c>
      <c r="O25" s="121">
        <f t="shared" si="2"/>
        <v>637.79999999999995</v>
      </c>
      <c r="P25" s="122">
        <f t="shared" si="2"/>
        <v>635.80000000000007</v>
      </c>
      <c r="Q25" s="120">
        <f t="shared" si="2"/>
        <v>632.4</v>
      </c>
      <c r="R25" s="120">
        <f t="shared" si="2"/>
        <v>628.20000000000005</v>
      </c>
      <c r="S25" s="120">
        <f>SUM(S18:S24)</f>
        <v>148.20000000000002</v>
      </c>
      <c r="T25" s="120">
        <f t="shared" si="2"/>
        <v>631.6</v>
      </c>
      <c r="U25" s="120">
        <f t="shared" si="2"/>
        <v>628.20000000000005</v>
      </c>
      <c r="V25" s="121">
        <f t="shared" si="2"/>
        <v>635.70000000000005</v>
      </c>
      <c r="W25" s="361">
        <f>SUM(W18:W24)</f>
        <v>11531.8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154.0489994389377</v>
      </c>
      <c r="Y26" s="41"/>
    </row>
    <row r="27" spans="1:25" s="2" customFormat="1" ht="33" customHeight="1" x14ac:dyDescent="0.25">
      <c r="A27" s="149" t="s">
        <v>12</v>
      </c>
      <c r="B27" s="26">
        <v>554</v>
      </c>
      <c r="C27" s="27">
        <v>544</v>
      </c>
      <c r="D27" s="27">
        <v>547</v>
      </c>
      <c r="E27" s="27">
        <v>106</v>
      </c>
      <c r="F27" s="27">
        <v>553</v>
      </c>
      <c r="G27" s="27">
        <v>544</v>
      </c>
      <c r="H27" s="28">
        <v>556</v>
      </c>
      <c r="I27" s="26">
        <v>578</v>
      </c>
      <c r="J27" s="27">
        <v>581</v>
      </c>
      <c r="K27" s="27">
        <v>594</v>
      </c>
      <c r="L27" s="27">
        <v>121</v>
      </c>
      <c r="M27" s="27">
        <v>582</v>
      </c>
      <c r="N27" s="27">
        <v>587</v>
      </c>
      <c r="O27" s="28">
        <v>592</v>
      </c>
      <c r="P27" s="26">
        <v>590</v>
      </c>
      <c r="Q27" s="27">
        <v>587</v>
      </c>
      <c r="R27" s="27">
        <v>583</v>
      </c>
      <c r="S27" s="27">
        <v>136</v>
      </c>
      <c r="T27" s="27">
        <v>586</v>
      </c>
      <c r="U27" s="27">
        <v>583</v>
      </c>
      <c r="V27" s="28">
        <v>590</v>
      </c>
      <c r="W27" s="29">
        <f>SUM(B27:V27)</f>
        <v>10694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85.49655333333321</v>
      </c>
      <c r="C28" s="30">
        <f t="shared" ref="C28:V28" si="3">((((C26*7)*C27)/1000-C18)/6)</f>
        <v>84.250586666666536</v>
      </c>
      <c r="D28" s="30">
        <f t="shared" si="3"/>
        <v>84.272709999999861</v>
      </c>
      <c r="E28" s="30">
        <f t="shared" si="3"/>
        <v>16.637246666666641</v>
      </c>
      <c r="F28" s="30">
        <f t="shared" si="3"/>
        <v>85.116956666666539</v>
      </c>
      <c r="G28" s="30">
        <f t="shared" si="3"/>
        <v>83.950586666666538</v>
      </c>
      <c r="H28" s="30">
        <f t="shared" si="3"/>
        <v>85.839079999999853</v>
      </c>
      <c r="I28" s="30">
        <f t="shared" si="3"/>
        <v>89.306873333333201</v>
      </c>
      <c r="J28" s="30">
        <f t="shared" si="3"/>
        <v>89.478996666666532</v>
      </c>
      <c r="K28" s="30">
        <f t="shared" si="3"/>
        <v>91.497086666666533</v>
      </c>
      <c r="L28" s="30">
        <f t="shared" si="3"/>
        <v>18.631196666666639</v>
      </c>
      <c r="M28" s="30">
        <f t="shared" si="3"/>
        <v>89.875259999999855</v>
      </c>
      <c r="N28" s="30">
        <f t="shared" si="3"/>
        <v>90.656576666666524</v>
      </c>
      <c r="O28" s="30">
        <f t="shared" si="3"/>
        <v>91.25455999999987</v>
      </c>
      <c r="P28" s="30">
        <f t="shared" si="3"/>
        <v>90.828699999999856</v>
      </c>
      <c r="Q28" s="30">
        <f t="shared" si="3"/>
        <v>90.489909999999853</v>
      </c>
      <c r="R28" s="30">
        <f t="shared" si="3"/>
        <v>89.771523333333207</v>
      </c>
      <c r="S28" s="30">
        <f t="shared" si="3"/>
        <v>21.008479999999967</v>
      </c>
      <c r="T28" s="30">
        <f t="shared" si="3"/>
        <v>90.226979999999855</v>
      </c>
      <c r="U28" s="30">
        <f t="shared" si="3"/>
        <v>89.854856666666535</v>
      </c>
      <c r="V28" s="30">
        <f t="shared" si="3"/>
        <v>90.262033333333179</v>
      </c>
      <c r="W28" s="362">
        <f>((W25*1000)/7)/W27</f>
        <v>154.04899943893773</v>
      </c>
      <c r="Y28" s="41"/>
    </row>
    <row r="29" spans="1:25" ht="33.75" customHeight="1" x14ac:dyDescent="0.25">
      <c r="A29" s="151" t="s">
        <v>14</v>
      </c>
      <c r="B29" s="281">
        <f>((B27*B26)*7)/1000</f>
        <v>596.97931999999923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114.22347999999985</v>
      </c>
      <c r="F29" s="282">
        <f t="shared" si="4"/>
        <v>595.90173999999934</v>
      </c>
      <c r="G29" s="282">
        <f t="shared" si="4"/>
        <v>586.20351999999923</v>
      </c>
      <c r="H29" s="284">
        <f t="shared" si="4"/>
        <v>599.13447999999914</v>
      </c>
      <c r="I29" s="281">
        <f t="shared" si="4"/>
        <v>622.84123999999929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130.38717999999983</v>
      </c>
      <c r="M29" s="282">
        <f t="shared" si="4"/>
        <v>627.15155999999922</v>
      </c>
      <c r="N29" s="282">
        <f t="shared" si="4"/>
        <v>632.53945999999917</v>
      </c>
      <c r="O29" s="284">
        <f t="shared" si="4"/>
        <v>637.92735999999923</v>
      </c>
      <c r="P29" s="281">
        <f t="shared" si="4"/>
        <v>635.77219999999909</v>
      </c>
      <c r="Q29" s="282">
        <f t="shared" si="4"/>
        <v>632.53945999999917</v>
      </c>
      <c r="R29" s="282">
        <f t="shared" si="4"/>
        <v>628.22913999999923</v>
      </c>
      <c r="S29" s="282">
        <f t="shared" si="4"/>
        <v>146.55087999999981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153.97111913357401</v>
      </c>
      <c r="C30" s="38">
        <f t="shared" ref="C30:V30" si="5">+(C25/C27)/7*1000</f>
        <v>153.93907563025212</v>
      </c>
      <c r="D30" s="38">
        <f t="shared" si="5"/>
        <v>153.90441368503531</v>
      </c>
      <c r="E30" s="38">
        <f t="shared" si="5"/>
        <v>154.04312668463612</v>
      </c>
      <c r="F30" s="38">
        <f t="shared" si="5"/>
        <v>154.1462154482046</v>
      </c>
      <c r="G30" s="38">
        <f t="shared" si="5"/>
        <v>153.88655462184872</v>
      </c>
      <c r="H30" s="39">
        <f t="shared" si="5"/>
        <v>153.9568345323741</v>
      </c>
      <c r="I30" s="37">
        <f t="shared" si="5"/>
        <v>154.17696490360848</v>
      </c>
      <c r="J30" s="38">
        <f t="shared" si="5"/>
        <v>154.11851487582987</v>
      </c>
      <c r="K30" s="38">
        <f t="shared" si="5"/>
        <v>153.94420394420391</v>
      </c>
      <c r="L30" s="38">
        <f t="shared" si="5"/>
        <v>158.08736717827628</v>
      </c>
      <c r="M30" s="38">
        <f t="shared" si="5"/>
        <v>153.95189003436425</v>
      </c>
      <c r="N30" s="38">
        <f t="shared" si="5"/>
        <v>154.12509126308103</v>
      </c>
      <c r="O30" s="39">
        <f t="shared" si="5"/>
        <v>153.90926640926642</v>
      </c>
      <c r="P30" s="37">
        <f t="shared" si="5"/>
        <v>153.94673123486686</v>
      </c>
      <c r="Q30" s="38">
        <f t="shared" si="5"/>
        <v>153.90605986858114</v>
      </c>
      <c r="R30" s="38">
        <f t="shared" si="5"/>
        <v>153.93285959323697</v>
      </c>
      <c r="S30" s="38">
        <f t="shared" si="5"/>
        <v>155.67226890756305</v>
      </c>
      <c r="T30" s="38">
        <f t="shared" si="5"/>
        <v>153.97367137981473</v>
      </c>
      <c r="U30" s="38">
        <f t="shared" si="5"/>
        <v>153.93285959323697</v>
      </c>
      <c r="V30" s="39">
        <f t="shared" si="5"/>
        <v>153.92251815980632</v>
      </c>
      <c r="W30" s="40"/>
    </row>
    <row r="31" spans="1:25" ht="33.75" customHeight="1" x14ac:dyDescent="0.25">
      <c r="A31" s="41"/>
      <c r="B31" s="645">
        <f t="shared" ref="B31:V32" si="6">B29-B25</f>
        <v>-0.12068000000078882</v>
      </c>
      <c r="C31" s="645">
        <f t="shared" si="6"/>
        <v>3.5199999991846198E-3</v>
      </c>
      <c r="D31" s="645">
        <f t="shared" si="6"/>
        <v>0.13625999999908345</v>
      </c>
      <c r="E31" s="645">
        <f t="shared" si="6"/>
        <v>-7.6520000000158461E-2</v>
      </c>
      <c r="F31" s="645">
        <f t="shared" si="6"/>
        <v>-0.79826000000070962</v>
      </c>
      <c r="G31" s="645">
        <f t="shared" si="6"/>
        <v>0.20351999999923009</v>
      </c>
      <c r="H31" s="645">
        <f t="shared" si="6"/>
        <v>-6.5520000000901746E-2</v>
      </c>
      <c r="I31" s="645">
        <f t="shared" si="6"/>
        <v>-0.95876000000055228</v>
      </c>
      <c r="J31" s="645">
        <f t="shared" si="6"/>
        <v>-0.7260200000007444</v>
      </c>
      <c r="K31" s="645">
        <f t="shared" si="6"/>
        <v>-1.7480000000659857E-2</v>
      </c>
      <c r="L31" s="645">
        <f t="shared" si="6"/>
        <v>-3.5128200000001755</v>
      </c>
      <c r="M31" s="645">
        <f t="shared" si="6"/>
        <v>-4.8440000000709915E-2</v>
      </c>
      <c r="N31" s="645">
        <f t="shared" si="6"/>
        <v>-0.76054000000078759</v>
      </c>
      <c r="O31" s="645">
        <f t="shared" si="6"/>
        <v>0.12735999999927117</v>
      </c>
      <c r="P31" s="645">
        <f t="shared" si="6"/>
        <v>-2.7800000000979708E-2</v>
      </c>
      <c r="Q31" s="645">
        <f t="shared" si="6"/>
        <v>0.13945999999918968</v>
      </c>
      <c r="R31" s="645">
        <f t="shared" si="6"/>
        <v>2.9139999999188149E-2</v>
      </c>
      <c r="S31" s="645">
        <f t="shared" si="6"/>
        <v>-1.6491200000002095</v>
      </c>
      <c r="T31" s="645">
        <f t="shared" si="6"/>
        <v>-0.13812000000086755</v>
      </c>
      <c r="U31" s="645">
        <f t="shared" si="6"/>
        <v>2.9139999999188149E-2</v>
      </c>
      <c r="V31" s="645">
        <f t="shared" si="6"/>
        <v>7.219999999904303E-2</v>
      </c>
      <c r="W31" s="42"/>
      <c r="X31" s="42"/>
    </row>
    <row r="32" spans="1:25" ht="33.75" customHeight="1" x14ac:dyDescent="0.25">
      <c r="A32" s="41"/>
      <c r="B32" s="42">
        <f>B30-B26</f>
        <v>3.1119133574208035E-2</v>
      </c>
      <c r="C32" s="42">
        <f t="shared" si="6"/>
        <v>-9.2436974767906577E-4</v>
      </c>
      <c r="D32" s="42">
        <f t="shared" si="6"/>
        <v>-3.5586314964490384E-2</v>
      </c>
      <c r="E32" s="42">
        <f t="shared" si="6"/>
        <v>0.10312668463632235</v>
      </c>
      <c r="F32" s="42">
        <f t="shared" si="6"/>
        <v>0.20621544820480153</v>
      </c>
      <c r="G32" s="42">
        <f t="shared" si="6"/>
        <v>-5.3445378151081968E-2</v>
      </c>
      <c r="H32" s="42">
        <f t="shared" si="6"/>
        <v>1.683453237430399E-2</v>
      </c>
      <c r="I32" s="42">
        <f t="shared" si="6"/>
        <v>0.23696490360867983</v>
      </c>
      <c r="J32" s="42">
        <f t="shared" si="6"/>
        <v>0.17851487583007497</v>
      </c>
      <c r="K32" s="42">
        <f t="shared" si="6"/>
        <v>4.2039442041073016E-3</v>
      </c>
      <c r="L32" s="42">
        <f t="shared" si="6"/>
        <v>4.1473671782764825</v>
      </c>
      <c r="M32" s="42">
        <f t="shared" si="6"/>
        <v>1.189003436445546E-2</v>
      </c>
      <c r="N32" s="42">
        <f t="shared" si="6"/>
        <v>0.18509126308123314</v>
      </c>
      <c r="O32" s="42">
        <f t="shared" si="6"/>
        <v>-3.0733590733376559E-2</v>
      </c>
      <c r="P32" s="42">
        <f t="shared" si="6"/>
        <v>6.7312348670611755E-3</v>
      </c>
      <c r="Q32" s="42">
        <f>Q30-Q26</f>
        <v>-3.3940131418660258E-2</v>
      </c>
      <c r="R32" s="42">
        <f t="shared" si="6"/>
        <v>-7.1404067628293433E-3</v>
      </c>
      <c r="S32" s="42">
        <f t="shared" si="6"/>
        <v>1.7322689075632525</v>
      </c>
      <c r="T32" s="42">
        <f t="shared" si="6"/>
        <v>3.3671379814933289E-2</v>
      </c>
      <c r="U32" s="42">
        <f t="shared" si="6"/>
        <v>-7.1404067628293433E-3</v>
      </c>
      <c r="V32" s="42">
        <f t="shared" si="6"/>
        <v>-1.7481840193482867E-2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2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713">
        <v>78.7</v>
      </c>
      <c r="C39" s="714">
        <v>74</v>
      </c>
      <c r="D39" s="721">
        <v>5.3</v>
      </c>
      <c r="E39" s="714">
        <v>81.900000000000006</v>
      </c>
      <c r="F39" s="714">
        <v>84.2</v>
      </c>
      <c r="G39" s="715">
        <v>85.1</v>
      </c>
      <c r="H39" s="641">
        <f t="shared" ref="H39:H46" si="7">SUM(B39:G39)</f>
        <v>409.20000000000005</v>
      </c>
      <c r="I39" s="49"/>
      <c r="J39" s="42"/>
      <c r="K39" s="42"/>
      <c r="L39" s="42"/>
      <c r="M39" s="2"/>
      <c r="N39" s="146" t="s">
        <v>51</v>
      </c>
      <c r="O39" s="133">
        <v>5.7</v>
      </c>
      <c r="P39" s="497">
        <v>5.8</v>
      </c>
      <c r="Q39" s="497">
        <v>0.7</v>
      </c>
      <c r="R39" s="497">
        <v>6.4</v>
      </c>
      <c r="S39" s="497">
        <v>6.4</v>
      </c>
      <c r="T39" s="499">
        <v>6.3</v>
      </c>
      <c r="U39" s="641">
        <f t="shared" ref="U39:U46" si="8">SUM(O39:T39)</f>
        <v>31.3</v>
      </c>
      <c r="V39" s="49"/>
      <c r="W39" s="48"/>
    </row>
    <row r="40" spans="1:26" ht="33.75" customHeight="1" x14ac:dyDescent="0.25">
      <c r="A40" s="146" t="s">
        <v>24</v>
      </c>
      <c r="B40" s="719">
        <v>78.8</v>
      </c>
      <c r="C40" s="720">
        <v>76</v>
      </c>
      <c r="D40" s="716">
        <v>9.3000000000000007</v>
      </c>
      <c r="E40" s="716">
        <v>84.5</v>
      </c>
      <c r="F40" s="716">
        <v>84.3</v>
      </c>
      <c r="G40" s="717">
        <v>85</v>
      </c>
      <c r="H40" s="538">
        <f t="shared" si="7"/>
        <v>417.90000000000003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6.3</v>
      </c>
      <c r="U40" s="538">
        <f t="shared" si="8"/>
        <v>31.2</v>
      </c>
      <c r="V40" s="49"/>
      <c r="W40" s="48"/>
    </row>
    <row r="41" spans="1:26" ht="33.75" customHeight="1" x14ac:dyDescent="0.25">
      <c r="A41" s="146" t="s">
        <v>20</v>
      </c>
      <c r="B41" s="718">
        <v>78.5</v>
      </c>
      <c r="C41" s="716">
        <v>75.900000000000006</v>
      </c>
      <c r="D41" s="720">
        <v>9.3000000000000007</v>
      </c>
      <c r="E41" s="720">
        <v>84.5</v>
      </c>
      <c r="F41" s="716">
        <v>84.3</v>
      </c>
      <c r="G41" s="717">
        <v>85</v>
      </c>
      <c r="H41" s="538">
        <f t="shared" si="7"/>
        <v>417.5</v>
      </c>
      <c r="I41" s="49"/>
      <c r="J41" s="196"/>
      <c r="K41" s="196"/>
      <c r="L41" s="196"/>
      <c r="M41" s="2"/>
      <c r="N41" s="146" t="s">
        <v>20</v>
      </c>
      <c r="O41" s="281">
        <v>5.6</v>
      </c>
      <c r="P41" s="282">
        <v>5.8</v>
      </c>
      <c r="Q41" s="282">
        <v>0.6</v>
      </c>
      <c r="R41" s="282">
        <v>6.3</v>
      </c>
      <c r="S41" s="282">
        <v>6.3</v>
      </c>
      <c r="T41" s="284">
        <v>6.1</v>
      </c>
      <c r="U41" s="538">
        <f t="shared" si="8"/>
        <v>30.699999999999996</v>
      </c>
      <c r="V41" s="49"/>
      <c r="W41" s="48"/>
    </row>
    <row r="42" spans="1:26" ht="33.75" customHeight="1" x14ac:dyDescent="0.25">
      <c r="A42" s="146" t="s">
        <v>28</v>
      </c>
      <c r="B42" s="281">
        <v>78.400000000000006</v>
      </c>
      <c r="C42" s="282">
        <v>75.900000000000006</v>
      </c>
      <c r="D42" s="722">
        <v>9.1999999999999993</v>
      </c>
      <c r="E42" s="282">
        <v>84.4</v>
      </c>
      <c r="F42" s="282">
        <v>84.3</v>
      </c>
      <c r="G42" s="284">
        <v>85</v>
      </c>
      <c r="H42" s="538">
        <f t="shared" si="7"/>
        <v>417.2</v>
      </c>
      <c r="I42" s="49"/>
      <c r="J42" s="2"/>
      <c r="K42" s="2"/>
      <c r="L42" s="2"/>
      <c r="M42" s="2"/>
      <c r="N42" s="146" t="s">
        <v>28</v>
      </c>
      <c r="O42" s="281">
        <v>5.6</v>
      </c>
      <c r="P42" s="282">
        <v>5.8</v>
      </c>
      <c r="Q42" s="282">
        <v>0.6</v>
      </c>
      <c r="R42" s="282">
        <v>6.3</v>
      </c>
      <c r="S42" s="282">
        <v>6.3</v>
      </c>
      <c r="T42" s="284">
        <v>6.2</v>
      </c>
      <c r="U42" s="538">
        <f t="shared" si="8"/>
        <v>30.799999999999997</v>
      </c>
      <c r="V42" s="49"/>
      <c r="W42" s="48"/>
    </row>
    <row r="43" spans="1:26" ht="33.75" customHeight="1" x14ac:dyDescent="0.25">
      <c r="A43" s="146" t="s">
        <v>21</v>
      </c>
      <c r="B43" s="281">
        <v>77.7</v>
      </c>
      <c r="C43" s="282">
        <v>75.5</v>
      </c>
      <c r="D43" s="722">
        <v>8.6</v>
      </c>
      <c r="E43" s="282">
        <v>84</v>
      </c>
      <c r="F43" s="282">
        <v>84.1</v>
      </c>
      <c r="G43" s="284">
        <v>85</v>
      </c>
      <c r="H43" s="538">
        <f t="shared" si="7"/>
        <v>414.9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</v>
      </c>
      <c r="U43" s="538">
        <f t="shared" si="8"/>
        <v>31</v>
      </c>
      <c r="V43" s="49"/>
      <c r="W43" s="48"/>
    </row>
    <row r="44" spans="1:26" ht="33.75" customHeight="1" x14ac:dyDescent="0.25">
      <c r="A44" s="146" t="s">
        <v>22</v>
      </c>
      <c r="B44" s="281">
        <v>77.7</v>
      </c>
      <c r="C44" s="282">
        <v>75.5</v>
      </c>
      <c r="D44" s="722">
        <v>8.5</v>
      </c>
      <c r="E44" s="282">
        <v>84</v>
      </c>
      <c r="F44" s="282">
        <v>84</v>
      </c>
      <c r="G44" s="284">
        <v>85</v>
      </c>
      <c r="H44" s="538">
        <f t="shared" si="7"/>
        <v>414.7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</v>
      </c>
      <c r="U44" s="538">
        <f t="shared" si="8"/>
        <v>31</v>
      </c>
      <c r="V44" s="49"/>
      <c r="W44" s="48"/>
    </row>
    <row r="45" spans="1:26" ht="33.75" customHeight="1" thickBot="1" x14ac:dyDescent="0.3">
      <c r="A45" s="146" t="s">
        <v>23</v>
      </c>
      <c r="B45" s="281">
        <v>77.599999999999994</v>
      </c>
      <c r="C45" s="282">
        <v>75.5</v>
      </c>
      <c r="D45" s="722">
        <v>8.5</v>
      </c>
      <c r="E45" s="282">
        <v>83.9</v>
      </c>
      <c r="F45" s="282">
        <v>83.9</v>
      </c>
      <c r="G45" s="284">
        <v>85</v>
      </c>
      <c r="H45" s="723">
        <f t="shared" si="7"/>
        <v>414.4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0.7</v>
      </c>
      <c r="R45" s="282">
        <v>6.4</v>
      </c>
      <c r="S45" s="282">
        <v>6.4</v>
      </c>
      <c r="T45" s="284">
        <v>6</v>
      </c>
      <c r="U45" s="538">
        <f t="shared" si="8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547.4</v>
      </c>
      <c r="C46" s="706">
        <f t="shared" si="9"/>
        <v>528.29999999999995</v>
      </c>
      <c r="D46" s="706">
        <f>SUM(D39:D45)</f>
        <v>58.7</v>
      </c>
      <c r="E46" s="706">
        <f t="shared" si="9"/>
        <v>587.20000000000005</v>
      </c>
      <c r="F46" s="706">
        <f t="shared" si="9"/>
        <v>589.1</v>
      </c>
      <c r="G46" s="707">
        <f t="shared" si="9"/>
        <v>595.1</v>
      </c>
      <c r="H46" s="560">
        <f t="shared" si="7"/>
        <v>2905.7999999999997</v>
      </c>
      <c r="I46" s="559"/>
      <c r="J46" s="42"/>
      <c r="K46" s="42"/>
      <c r="L46" s="42"/>
      <c r="N46" s="145" t="s">
        <v>9</v>
      </c>
      <c r="O46" s="225">
        <f t="shared" ref="O46:T46" si="10">SUM(O39:O45)</f>
        <v>39.700000000000003</v>
      </c>
      <c r="P46" s="201">
        <f t="shared" si="10"/>
        <v>40.599999999999994</v>
      </c>
      <c r="Q46" s="201">
        <f t="shared" si="10"/>
        <v>4.6000000000000005</v>
      </c>
      <c r="R46" s="201">
        <f t="shared" si="10"/>
        <v>44.6</v>
      </c>
      <c r="S46" s="201">
        <f t="shared" si="10"/>
        <v>44.6</v>
      </c>
      <c r="T46" s="201">
        <f t="shared" si="10"/>
        <v>42.9</v>
      </c>
      <c r="U46" s="361">
        <f t="shared" si="8"/>
        <v>217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153.06573957016431</v>
      </c>
      <c r="I47" s="559"/>
      <c r="J47" s="49"/>
      <c r="K47" s="49"/>
      <c r="L47" s="49"/>
      <c r="N47" s="453" t="s">
        <v>11</v>
      </c>
      <c r="O47" s="23">
        <v>153.5</v>
      </c>
      <c r="P47" s="24">
        <v>152.5</v>
      </c>
      <c r="Q47" s="24">
        <v>158</v>
      </c>
      <c r="R47" s="24">
        <v>155.5</v>
      </c>
      <c r="S47" s="24">
        <v>155.5</v>
      </c>
      <c r="T47" s="24">
        <v>157</v>
      </c>
      <c r="U47" s="128">
        <f>+((U46/U48)/7)*1000</f>
        <v>155</v>
      </c>
      <c r="V47" s="50"/>
    </row>
    <row r="48" spans="1:26" ht="33.75" customHeight="1" x14ac:dyDescent="0.25">
      <c r="A48" s="149" t="s">
        <v>12</v>
      </c>
      <c r="B48" s="26">
        <v>511</v>
      </c>
      <c r="C48" s="27">
        <v>494</v>
      </c>
      <c r="D48" s="27">
        <v>54</v>
      </c>
      <c r="E48" s="27">
        <v>548</v>
      </c>
      <c r="F48" s="27">
        <v>549</v>
      </c>
      <c r="G48" s="28">
        <v>556</v>
      </c>
      <c r="H48" s="129">
        <f>SUM(B48:G48)</f>
        <v>2712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77.989523333333338</v>
      </c>
      <c r="C49" s="31">
        <f t="shared" ref="C49:G49" si="11">((((C47*7)*C48)/1000-C39)/6)</f>
        <v>75.741926666666686</v>
      </c>
      <c r="D49" s="31">
        <f t="shared" si="11"/>
        <v>8.7443266666666677</v>
      </c>
      <c r="E49" s="31">
        <f t="shared" si="11"/>
        <v>84.052920000000015</v>
      </c>
      <c r="F49" s="31">
        <f t="shared" si="11"/>
        <v>83.847876666666679</v>
      </c>
      <c r="G49" s="32">
        <f t="shared" si="11"/>
        <v>84.945906666666687</v>
      </c>
      <c r="H49" s="130">
        <f>((H46*1000)/H48)/7</f>
        <v>153.06573957016434</v>
      </c>
      <c r="I49" s="54"/>
      <c r="J49" s="54"/>
      <c r="K49" s="41"/>
      <c r="L49" s="49"/>
      <c r="N49" s="150" t="s">
        <v>13</v>
      </c>
      <c r="O49" s="30">
        <f>((((O47*7)*O48)/1000/7))</f>
        <v>5.6795</v>
      </c>
      <c r="P49" s="30">
        <f t="shared" ref="P49:T49" si="12">((((P47*7)*P48)/1000-P39-P40)/5)</f>
        <v>5.7930000000000001</v>
      </c>
      <c r="Q49" s="30">
        <f t="shared" si="12"/>
        <v>0.62480000000000002</v>
      </c>
      <c r="R49" s="30">
        <f t="shared" si="12"/>
        <v>6.3657000000000012</v>
      </c>
      <c r="S49" s="30">
        <f t="shared" si="12"/>
        <v>6.3657000000000012</v>
      </c>
      <c r="T49" s="30">
        <f t="shared" si="12"/>
        <v>6.0522</v>
      </c>
      <c r="U49" s="454">
        <f>((U46*1000)/U48)/7</f>
        <v>155</v>
      </c>
      <c r="V49" s="192"/>
    </row>
    <row r="50" spans="1:25" ht="33.75" customHeight="1" x14ac:dyDescent="0.25">
      <c r="A50" s="151" t="s">
        <v>14</v>
      </c>
      <c r="B50" s="281">
        <f>((B48*B47)*7)/1000</f>
        <v>546.63713999999993</v>
      </c>
      <c r="C50" s="282">
        <f t="shared" ref="C50:G50" si="13">((C48*C47)*7)/1000</f>
        <v>528.45156000000009</v>
      </c>
      <c r="D50" s="282">
        <f t="shared" si="13"/>
        <v>57.765959999999993</v>
      </c>
      <c r="E50" s="282">
        <f t="shared" si="13"/>
        <v>586.21752000000004</v>
      </c>
      <c r="F50" s="282">
        <f t="shared" si="13"/>
        <v>587.28726000000006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39.756500000000003</v>
      </c>
      <c r="P50" s="282">
        <f t="shared" si="14"/>
        <v>40.564999999999998</v>
      </c>
      <c r="Q50" s="282">
        <f t="shared" si="14"/>
        <v>4.4240000000000004</v>
      </c>
      <c r="R50" s="282">
        <f t="shared" si="14"/>
        <v>44.628500000000003</v>
      </c>
      <c r="S50" s="282">
        <f t="shared" si="14"/>
        <v>44.628500000000003</v>
      </c>
      <c r="T50" s="282">
        <f t="shared" si="14"/>
        <v>42.860999999999997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153.03326810176125</v>
      </c>
      <c r="C51" s="38">
        <f t="shared" si="15"/>
        <v>152.77617119722382</v>
      </c>
      <c r="D51" s="38">
        <f t="shared" si="15"/>
        <v>155.29100529100529</v>
      </c>
      <c r="E51" s="38">
        <f t="shared" si="15"/>
        <v>153.07612095933263</v>
      </c>
      <c r="F51" s="38">
        <f t="shared" si="15"/>
        <v>153.29169919333853</v>
      </c>
      <c r="G51" s="39">
        <f t="shared" si="15"/>
        <v>152.90339157245631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153.2818532818533</v>
      </c>
      <c r="P51" s="38">
        <f t="shared" si="16"/>
        <v>152.63157894736838</v>
      </c>
      <c r="Q51" s="38">
        <f t="shared" si="16"/>
        <v>164.28571428571431</v>
      </c>
      <c r="R51" s="38">
        <f t="shared" si="16"/>
        <v>155.40069686411152</v>
      </c>
      <c r="S51" s="38">
        <f t="shared" si="16"/>
        <v>155.40069686411152</v>
      </c>
      <c r="T51" s="38">
        <f t="shared" si="16"/>
        <v>157.14285714285711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-0.76286000000004606</v>
      </c>
      <c r="C52" s="645">
        <f t="shared" si="17"/>
        <v>0.15156000000013137</v>
      </c>
      <c r="D52" s="645">
        <f t="shared" si="17"/>
        <v>-0.9340400000000102</v>
      </c>
      <c r="E52" s="645">
        <f t="shared" si="17"/>
        <v>-0.98248000000000957</v>
      </c>
      <c r="F52" s="645">
        <f t="shared" si="17"/>
        <v>-1.8127399999999625</v>
      </c>
      <c r="G52" s="645">
        <f t="shared" si="17"/>
        <v>-0.32456000000013319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5.6499999999999773E-2</v>
      </c>
      <c r="P52" s="645">
        <f t="shared" si="18"/>
        <v>-3.4999999999996589E-2</v>
      </c>
      <c r="Q52" s="645">
        <f t="shared" si="18"/>
        <v>-0.17600000000000016</v>
      </c>
      <c r="R52" s="645">
        <f t="shared" si="18"/>
        <v>2.850000000000108E-2</v>
      </c>
      <c r="S52" s="645">
        <f t="shared" si="18"/>
        <v>2.850000000000108E-2</v>
      </c>
      <c r="T52" s="645">
        <f t="shared" si="18"/>
        <v>-3.9000000000001478E-2</v>
      </c>
      <c r="X52" s="243"/>
      <c r="Y52" s="14"/>
    </row>
    <row r="53" spans="1:25" ht="33.75" customHeight="1" x14ac:dyDescent="0.25">
      <c r="A53" s="41"/>
      <c r="B53" s="42">
        <f>B51-B47</f>
        <v>0.21326810176125832</v>
      </c>
      <c r="C53" s="42">
        <f t="shared" si="17"/>
        <v>-4.3828802776175735E-2</v>
      </c>
      <c r="D53" s="42">
        <f t="shared" si="17"/>
        <v>2.471005291005298</v>
      </c>
      <c r="E53" s="42">
        <f t="shared" si="17"/>
        <v>0.2561209593326339</v>
      </c>
      <c r="F53" s="42">
        <f t="shared" si="17"/>
        <v>0.47169919333853727</v>
      </c>
      <c r="G53" s="42">
        <f t="shared" si="17"/>
        <v>8.3391572456321228E-2</v>
      </c>
      <c r="I53" s="2"/>
      <c r="J53" s="2"/>
      <c r="K53" s="45"/>
      <c r="L53" s="41"/>
      <c r="M53" s="42"/>
      <c r="N53" s="42"/>
      <c r="O53" s="42">
        <f t="shared" si="18"/>
        <v>-0.2181467181466985</v>
      </c>
      <c r="P53" s="42">
        <f t="shared" si="18"/>
        <v>0.13157894736838216</v>
      </c>
      <c r="Q53" s="42">
        <f t="shared" si="18"/>
        <v>6.285714285714306</v>
      </c>
      <c r="R53" s="42">
        <f t="shared" si="18"/>
        <v>-9.930313588847639E-2</v>
      </c>
      <c r="S53" s="42">
        <f t="shared" si="18"/>
        <v>-9.930313588847639E-2</v>
      </c>
      <c r="T53" s="42">
        <f t="shared" si="18"/>
        <v>0.14285714285711038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5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2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6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83">
        <v>1</v>
      </c>
      <c r="Q59" s="184">
        <v>2</v>
      </c>
      <c r="R59" s="184">
        <v>3</v>
      </c>
      <c r="S59" s="184">
        <v>4</v>
      </c>
      <c r="T59" s="184">
        <v>5</v>
      </c>
      <c r="U59" s="184">
        <v>6</v>
      </c>
      <c r="V59" s="224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6.9</v>
      </c>
      <c r="C60" s="668">
        <v>6.6</v>
      </c>
      <c r="D60" s="668">
        <v>5.7</v>
      </c>
      <c r="E60" s="668">
        <v>1.8</v>
      </c>
      <c r="F60" s="668">
        <v>7</v>
      </c>
      <c r="G60" s="668">
        <v>7</v>
      </c>
      <c r="H60" s="669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7.1</v>
      </c>
      <c r="V60" s="669">
        <v>7</v>
      </c>
      <c r="W60" s="703">
        <f t="shared" ref="W60:W66" si="19">SUM(B60:V60)</f>
        <v>130.39999999999998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5.7</v>
      </c>
      <c r="E61" s="497">
        <v>1.8</v>
      </c>
      <c r="F61" s="497">
        <v>7</v>
      </c>
      <c r="G61" s="497">
        <v>7</v>
      </c>
      <c r="H61" s="498">
        <v>7</v>
      </c>
      <c r="I61" s="133">
        <v>7.1</v>
      </c>
      <c r="J61" s="497">
        <v>7.1</v>
      </c>
      <c r="K61" s="497">
        <v>7.2</v>
      </c>
      <c r="L61" s="497">
        <v>1.8</v>
      </c>
      <c r="M61" s="497">
        <v>7</v>
      </c>
      <c r="N61" s="497">
        <v>7.1</v>
      </c>
      <c r="O61" s="498">
        <v>7</v>
      </c>
      <c r="P61" s="133">
        <v>7.2</v>
      </c>
      <c r="Q61" s="497">
        <v>7.2</v>
      </c>
      <c r="R61" s="497">
        <v>7</v>
      </c>
      <c r="S61" s="497">
        <v>1.6</v>
      </c>
      <c r="T61" s="497">
        <v>7</v>
      </c>
      <c r="U61" s="497">
        <v>7.1</v>
      </c>
      <c r="V61" s="498">
        <v>7</v>
      </c>
      <c r="W61" s="703">
        <f t="shared" si="19"/>
        <v>130.39999999999998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7</v>
      </c>
      <c r="E62" s="497">
        <v>1.7</v>
      </c>
      <c r="F62" s="486">
        <v>7</v>
      </c>
      <c r="G62" s="497">
        <v>6.9</v>
      </c>
      <c r="H62" s="498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1.5</v>
      </c>
      <c r="T62" s="497">
        <v>7</v>
      </c>
      <c r="U62" s="497">
        <v>7</v>
      </c>
      <c r="V62" s="498">
        <v>6.9</v>
      </c>
      <c r="W62" s="703">
        <f t="shared" si="19"/>
        <v>130.19999999999999</v>
      </c>
      <c r="X62" s="642"/>
      <c r="Y62" s="642"/>
    </row>
    <row r="63" spans="1:25" ht="33.75" customHeight="1" x14ac:dyDescent="0.25">
      <c r="A63" s="146" t="s">
        <v>28</v>
      </c>
      <c r="B63" s="133">
        <v>6.8</v>
      </c>
      <c r="C63" s="497">
        <v>6.5</v>
      </c>
      <c r="D63" s="497">
        <v>7</v>
      </c>
      <c r="E63" s="497">
        <v>1.7</v>
      </c>
      <c r="F63" s="497">
        <v>6.9</v>
      </c>
      <c r="G63" s="497">
        <v>6.9</v>
      </c>
      <c r="H63" s="498">
        <v>6.9</v>
      </c>
      <c r="I63" s="133">
        <v>7</v>
      </c>
      <c r="J63" s="497">
        <v>7</v>
      </c>
      <c r="K63" s="497">
        <v>7.1</v>
      </c>
      <c r="L63" s="497">
        <v>1.7</v>
      </c>
      <c r="M63" s="497">
        <v>7</v>
      </c>
      <c r="N63" s="497">
        <v>7.1</v>
      </c>
      <c r="O63" s="498">
        <v>6.9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130.29999999999998</v>
      </c>
      <c r="X63" s="642"/>
      <c r="Y63" s="642"/>
    </row>
    <row r="64" spans="1:25" ht="33.75" customHeight="1" x14ac:dyDescent="0.25">
      <c r="A64" s="146" t="s">
        <v>21</v>
      </c>
      <c r="B64" s="133">
        <v>6.8</v>
      </c>
      <c r="C64" s="497">
        <v>6.5</v>
      </c>
      <c r="D64" s="497">
        <v>7.1</v>
      </c>
      <c r="E64" s="497">
        <v>1.3</v>
      </c>
      <c r="F64" s="497">
        <v>6.6</v>
      </c>
      <c r="G64" s="497">
        <v>6.9</v>
      </c>
      <c r="H64" s="498">
        <v>6.9</v>
      </c>
      <c r="I64" s="133">
        <v>7</v>
      </c>
      <c r="J64" s="497">
        <v>7</v>
      </c>
      <c r="K64" s="497">
        <v>7.2</v>
      </c>
      <c r="L64" s="497">
        <v>1.7</v>
      </c>
      <c r="M64" s="497">
        <v>7</v>
      </c>
      <c r="N64" s="497">
        <v>7.1</v>
      </c>
      <c r="O64" s="498">
        <v>6.9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8">
        <v>6.9</v>
      </c>
      <c r="W64" s="703">
        <f t="shared" si="19"/>
        <v>129.79999999999998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6.5</v>
      </c>
      <c r="D65" s="497">
        <v>7.1</v>
      </c>
      <c r="E65" s="497">
        <v>1.4</v>
      </c>
      <c r="F65" s="497">
        <v>6.7</v>
      </c>
      <c r="G65" s="497">
        <v>7</v>
      </c>
      <c r="H65" s="498">
        <v>7</v>
      </c>
      <c r="I65" s="133">
        <v>7</v>
      </c>
      <c r="J65" s="497">
        <v>7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7.1</v>
      </c>
      <c r="Q65" s="497">
        <v>7.1</v>
      </c>
      <c r="R65" s="497">
        <v>7</v>
      </c>
      <c r="S65" s="497">
        <v>1.6</v>
      </c>
      <c r="T65" s="497">
        <v>7</v>
      </c>
      <c r="U65" s="497">
        <v>7.1</v>
      </c>
      <c r="V65" s="498">
        <v>6.9</v>
      </c>
      <c r="W65" s="703">
        <f t="shared" si="19"/>
        <v>130.49999999999997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7.1</v>
      </c>
      <c r="E66" s="497">
        <v>1.4</v>
      </c>
      <c r="F66" s="497">
        <v>6.7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7.2</v>
      </c>
      <c r="O66" s="672">
        <v>7</v>
      </c>
      <c r="P66" s="670">
        <v>7.1</v>
      </c>
      <c r="Q66" s="671">
        <v>7.1</v>
      </c>
      <c r="R66" s="671">
        <v>7</v>
      </c>
      <c r="S66" s="671">
        <v>1.6</v>
      </c>
      <c r="T66" s="671">
        <v>7</v>
      </c>
      <c r="U66" s="671">
        <v>7.1</v>
      </c>
      <c r="V66" s="672">
        <v>6.9</v>
      </c>
      <c r="W66" s="703">
        <f t="shared" si="19"/>
        <v>130.89999999999998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</v>
      </c>
      <c r="C67" s="201">
        <f>SUM(C60:C66)</f>
        <v>45.800000000000004</v>
      </c>
      <c r="D67" s="201">
        <f t="shared" ref="D67:V67" si="20">SUM(D60:D66)</f>
        <v>46.7</v>
      </c>
      <c r="E67" s="201">
        <f t="shared" si="20"/>
        <v>11.100000000000001</v>
      </c>
      <c r="F67" s="201">
        <f t="shared" si="20"/>
        <v>47.900000000000006</v>
      </c>
      <c r="G67" s="201">
        <f t="shared" si="20"/>
        <v>48.699999999999996</v>
      </c>
      <c r="H67" s="273">
        <f t="shared" si="20"/>
        <v>48.699999999999996</v>
      </c>
      <c r="I67" s="200">
        <f t="shared" si="20"/>
        <v>49.300000000000004</v>
      </c>
      <c r="J67" s="201">
        <f t="shared" si="20"/>
        <v>49.300000000000004</v>
      </c>
      <c r="K67" s="201">
        <f t="shared" si="20"/>
        <v>50.20000000000001</v>
      </c>
      <c r="L67" s="201">
        <f t="shared" si="20"/>
        <v>12.3</v>
      </c>
      <c r="M67" s="201">
        <f t="shared" si="20"/>
        <v>49</v>
      </c>
      <c r="N67" s="201">
        <f t="shared" si="20"/>
        <v>49.800000000000004</v>
      </c>
      <c r="O67" s="229">
        <f t="shared" si="20"/>
        <v>48.699999999999996</v>
      </c>
      <c r="P67" s="200">
        <f t="shared" si="20"/>
        <v>49.900000000000006</v>
      </c>
      <c r="Q67" s="201">
        <f t="shared" si="20"/>
        <v>49.900000000000006</v>
      </c>
      <c r="R67" s="201">
        <f t="shared" si="20"/>
        <v>49</v>
      </c>
      <c r="S67" s="201">
        <f t="shared" si="20"/>
        <v>11.1</v>
      </c>
      <c r="T67" s="201">
        <f t="shared" si="20"/>
        <v>49</v>
      </c>
      <c r="U67" s="201">
        <f t="shared" si="20"/>
        <v>49.6</v>
      </c>
      <c r="V67" s="229">
        <f t="shared" si="20"/>
        <v>48.499999999999993</v>
      </c>
      <c r="W67" s="326">
        <f>SUM(W60:W66)</f>
        <v>912.49999999999989</v>
      </c>
      <c r="X67" s="243"/>
      <c r="Y67" s="14"/>
    </row>
    <row r="68" spans="1:25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63">
        <v>162</v>
      </c>
      <c r="Q68" s="24">
        <v>162</v>
      </c>
      <c r="R68" s="24">
        <v>159</v>
      </c>
      <c r="S68" s="24">
        <v>159</v>
      </c>
      <c r="T68" s="24">
        <v>159</v>
      </c>
      <c r="U68" s="24">
        <v>157.5</v>
      </c>
      <c r="V68" s="155">
        <v>157.5</v>
      </c>
      <c r="W68" s="327">
        <f>((W67/W69)/7)*1000</f>
        <v>159.16623059480202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44</v>
      </c>
      <c r="W69" s="328">
        <f>SUM(B69:V69)</f>
        <v>819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6.8419000000000008</v>
      </c>
      <c r="C70" s="30">
        <f t="shared" si="21"/>
        <v>6.515299999999999</v>
      </c>
      <c r="D70" s="30">
        <f t="shared" si="21"/>
        <v>7.0691999999999995</v>
      </c>
      <c r="E70" s="30">
        <f t="shared" si="21"/>
        <v>1.506</v>
      </c>
      <c r="F70" s="30">
        <f t="shared" si="21"/>
        <v>6.7718000000000007</v>
      </c>
      <c r="G70" s="30">
        <f t="shared" si="21"/>
        <v>6.9328000000000003</v>
      </c>
      <c r="H70" s="30">
        <f t="shared" si="21"/>
        <v>6.9328000000000003</v>
      </c>
      <c r="I70" s="30">
        <f t="shared" si="21"/>
        <v>7.016</v>
      </c>
      <c r="J70" s="30">
        <f t="shared" si="21"/>
        <v>7.016</v>
      </c>
      <c r="K70" s="30">
        <f t="shared" si="21"/>
        <v>7.168499999999999</v>
      </c>
      <c r="L70" s="30">
        <f t="shared" si="21"/>
        <v>1.7362999999999995</v>
      </c>
      <c r="M70" s="30">
        <f t="shared" si="21"/>
        <v>6.9944000000000006</v>
      </c>
      <c r="N70" s="30">
        <f t="shared" si="21"/>
        <v>7.1139999999999999</v>
      </c>
      <c r="O70" s="30">
        <f t="shared" si="21"/>
        <v>6.9328000000000003</v>
      </c>
      <c r="P70" s="30">
        <f t="shared" si="21"/>
        <v>7.0991999999999988</v>
      </c>
      <c r="Q70" s="30">
        <f t="shared" si="21"/>
        <v>7.0991999999999988</v>
      </c>
      <c r="R70" s="30">
        <f t="shared" si="21"/>
        <v>6.9944000000000006</v>
      </c>
      <c r="S70" s="30">
        <f t="shared" si="21"/>
        <v>1.5860000000000003</v>
      </c>
      <c r="T70" s="30">
        <f t="shared" si="21"/>
        <v>6.9944000000000006</v>
      </c>
      <c r="U70" s="30">
        <f t="shared" si="21"/>
        <v>7.0824999999999987</v>
      </c>
      <c r="V70" s="30">
        <f t="shared" si="21"/>
        <v>6.9019999999999992</v>
      </c>
      <c r="W70" s="329">
        <f>((W67*1000)/7)/W69</f>
        <v>159.16623059480202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V71" si="22">((D69*D68)*7)/1000</f>
        <v>46.746000000000002</v>
      </c>
      <c r="E71" s="282">
        <f t="shared" si="22"/>
        <v>11.13</v>
      </c>
      <c r="F71" s="282">
        <f t="shared" si="22"/>
        <v>47.859000000000002</v>
      </c>
      <c r="G71" s="282">
        <f t="shared" si="22"/>
        <v>48.664000000000001</v>
      </c>
      <c r="H71" s="284">
        <f t="shared" si="22"/>
        <v>48.664000000000001</v>
      </c>
      <c r="I71" s="285">
        <f t="shared" si="22"/>
        <v>49.28</v>
      </c>
      <c r="J71" s="282">
        <f t="shared" si="22"/>
        <v>49.28</v>
      </c>
      <c r="K71" s="282">
        <f t="shared" si="22"/>
        <v>50.2425</v>
      </c>
      <c r="L71" s="282">
        <f t="shared" si="22"/>
        <v>12.281499999999999</v>
      </c>
      <c r="M71" s="282">
        <f t="shared" si="22"/>
        <v>48.972000000000001</v>
      </c>
      <c r="N71" s="282">
        <f t="shared" si="22"/>
        <v>49.77</v>
      </c>
      <c r="O71" s="283">
        <f t="shared" si="22"/>
        <v>48.664000000000001</v>
      </c>
      <c r="P71" s="285">
        <f t="shared" si="22"/>
        <v>49.896000000000001</v>
      </c>
      <c r="Q71" s="282">
        <f t="shared" si="22"/>
        <v>49.896000000000001</v>
      </c>
      <c r="R71" s="282">
        <f t="shared" si="22"/>
        <v>48.972000000000001</v>
      </c>
      <c r="S71" s="282">
        <f t="shared" si="22"/>
        <v>11.13</v>
      </c>
      <c r="T71" s="282">
        <f t="shared" si="22"/>
        <v>48.972000000000001</v>
      </c>
      <c r="U71" s="282">
        <f t="shared" si="22"/>
        <v>49.612499999999997</v>
      </c>
      <c r="V71" s="283">
        <f t="shared" si="22"/>
        <v>48.51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V72" si="23">+(C67/C69)/7*1000</f>
        <v>159.58188153310107</v>
      </c>
      <c r="D72" s="38">
        <f t="shared" si="23"/>
        <v>158.84353741496599</v>
      </c>
      <c r="E72" s="38">
        <f>+(E67/E69)/7*1000</f>
        <v>158.57142857142858</v>
      </c>
      <c r="F72" s="38">
        <f t="shared" si="23"/>
        <v>159.13621262458474</v>
      </c>
      <c r="G72" s="38">
        <f t="shared" si="23"/>
        <v>158.11688311688309</v>
      </c>
      <c r="H72" s="39">
        <f t="shared" si="23"/>
        <v>158.11688311688309</v>
      </c>
      <c r="I72" s="67">
        <f t="shared" si="23"/>
        <v>160.06493506493507</v>
      </c>
      <c r="J72" s="38">
        <f t="shared" si="23"/>
        <v>160.06493506493507</v>
      </c>
      <c r="K72" s="38">
        <f t="shared" si="23"/>
        <v>159.3650793650794</v>
      </c>
      <c r="L72" s="38">
        <f t="shared" si="23"/>
        <v>159.74025974025975</v>
      </c>
      <c r="M72" s="38">
        <f t="shared" si="23"/>
        <v>159.09090909090909</v>
      </c>
      <c r="N72" s="38">
        <f t="shared" si="23"/>
        <v>158.0952380952381</v>
      </c>
      <c r="O72" s="158">
        <f t="shared" si="23"/>
        <v>158.11688311688309</v>
      </c>
      <c r="P72" s="67">
        <f t="shared" si="23"/>
        <v>162.01298701298703</v>
      </c>
      <c r="Q72" s="38">
        <f t="shared" si="23"/>
        <v>162.01298701298703</v>
      </c>
      <c r="R72" s="38">
        <f t="shared" si="23"/>
        <v>159.09090909090909</v>
      </c>
      <c r="S72" s="38">
        <f t="shared" si="23"/>
        <v>158.57142857142856</v>
      </c>
      <c r="T72" s="38">
        <f t="shared" si="23"/>
        <v>159.09090909090909</v>
      </c>
      <c r="U72" s="38">
        <f t="shared" si="23"/>
        <v>157.46031746031747</v>
      </c>
      <c r="V72" s="158">
        <f t="shared" si="23"/>
        <v>157.46753246753246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9.5000000000027285E-3</v>
      </c>
      <c r="C73" s="645">
        <f t="shared" si="24"/>
        <v>-2.3500000000005627E-2</v>
      </c>
      <c r="D73" s="645">
        <f t="shared" si="24"/>
        <v>4.5999999999999375E-2</v>
      </c>
      <c r="E73" s="645">
        <f t="shared" si="24"/>
        <v>2.9999999999999361E-2</v>
      </c>
      <c r="F73" s="645">
        <f t="shared" si="24"/>
        <v>-4.1000000000003922E-2</v>
      </c>
      <c r="G73" s="645">
        <f t="shared" si="24"/>
        <v>-3.5999999999994259E-2</v>
      </c>
      <c r="H73" s="645">
        <f t="shared" si="24"/>
        <v>-3.5999999999994259E-2</v>
      </c>
      <c r="I73" s="645">
        <f t="shared" si="24"/>
        <v>-2.0000000000003126E-2</v>
      </c>
      <c r="J73" s="645">
        <f t="shared" si="24"/>
        <v>-2.0000000000003126E-2</v>
      </c>
      <c r="K73" s="645">
        <f t="shared" si="24"/>
        <v>4.2499999999989768E-2</v>
      </c>
      <c r="L73" s="645">
        <f t="shared" si="24"/>
        <v>-1.8500000000001293E-2</v>
      </c>
      <c r="M73" s="645">
        <f t="shared" si="24"/>
        <v>-2.7999999999998693E-2</v>
      </c>
      <c r="N73" s="645">
        <f t="shared" si="24"/>
        <v>-3.0000000000001137E-2</v>
      </c>
      <c r="O73" s="645">
        <f t="shared" si="24"/>
        <v>-3.5999999999994259E-2</v>
      </c>
      <c r="P73" s="645">
        <f t="shared" si="24"/>
        <v>-4.0000000000048885E-3</v>
      </c>
      <c r="Q73" s="645">
        <f t="shared" si="24"/>
        <v>-4.0000000000048885E-3</v>
      </c>
      <c r="R73" s="645">
        <f t="shared" si="24"/>
        <v>-2.7999999999998693E-2</v>
      </c>
      <c r="S73" s="645">
        <f t="shared" si="24"/>
        <v>3.0000000000001137E-2</v>
      </c>
      <c r="T73" s="645">
        <f t="shared" si="24"/>
        <v>-2.7999999999998693E-2</v>
      </c>
      <c r="U73" s="645">
        <f t="shared" si="24"/>
        <v>1.2499999999995737E-2</v>
      </c>
      <c r="V73" s="645">
        <f t="shared" si="24"/>
        <v>1.0000000000005116E-2</v>
      </c>
      <c r="X73" s="243"/>
      <c r="Y73" s="14"/>
    </row>
    <row r="74" spans="1:25" ht="33.75" customHeight="1" x14ac:dyDescent="0.25">
      <c r="A74" s="41"/>
      <c r="B74" s="42">
        <f>B72-B68</f>
        <v>-3.1561461794041179E-2</v>
      </c>
      <c r="C74" s="42">
        <f t="shared" si="24"/>
        <v>8.1881533101068271E-2</v>
      </c>
      <c r="D74" s="42">
        <f t="shared" si="24"/>
        <v>-0.15646258503400645</v>
      </c>
      <c r="E74" s="42">
        <f t="shared" si="24"/>
        <v>-0.42857142857141639</v>
      </c>
      <c r="F74" s="42">
        <f t="shared" si="24"/>
        <v>0.13621262458474348</v>
      </c>
      <c r="G74" s="42">
        <f t="shared" si="24"/>
        <v>0.11688311688308772</v>
      </c>
      <c r="H74" s="42">
        <f t="shared" si="24"/>
        <v>0.11688311688308772</v>
      </c>
      <c r="I74" s="42">
        <f t="shared" si="24"/>
        <v>6.4935064935070841E-2</v>
      </c>
      <c r="J74" s="42">
        <f t="shared" si="24"/>
        <v>6.4935064935070841E-2</v>
      </c>
      <c r="K74" s="42">
        <f t="shared" si="24"/>
        <v>-0.13492063492060424</v>
      </c>
      <c r="L74" s="42">
        <f t="shared" si="24"/>
        <v>0.24025974025974506</v>
      </c>
      <c r="M74" s="42">
        <f t="shared" si="24"/>
        <v>9.0909090909093493E-2</v>
      </c>
      <c r="N74" s="42">
        <f t="shared" si="24"/>
        <v>9.5238095238102005E-2</v>
      </c>
      <c r="O74" s="42">
        <f t="shared" si="24"/>
        <v>0.11688311688308772</v>
      </c>
      <c r="P74" s="42">
        <f t="shared" si="24"/>
        <v>1.2987012987025537E-2</v>
      </c>
      <c r="Q74" s="42">
        <f>Q72-Q68</f>
        <v>1.2987012987025537E-2</v>
      </c>
      <c r="R74" s="42">
        <f t="shared" si="24"/>
        <v>9.0909090909093493E-2</v>
      </c>
      <c r="S74" s="42">
        <f t="shared" si="24"/>
        <v>-0.42857142857144481</v>
      </c>
      <c r="T74" s="42">
        <f t="shared" si="24"/>
        <v>9.0909090909093493E-2</v>
      </c>
      <c r="U74" s="42">
        <f t="shared" si="24"/>
        <v>-3.968253968253066E-2</v>
      </c>
      <c r="V74" s="42">
        <f t="shared" si="24"/>
        <v>-3.246753246753542E-2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B57:H57"/>
    <mergeCell ref="I57:O57"/>
    <mergeCell ref="P57:V57"/>
    <mergeCell ref="O36:T36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75"/>
  <dimension ref="A1:Z237"/>
  <sheetViews>
    <sheetView topLeftCell="A36" zoomScale="30" zoomScaleNormal="30" workbookViewId="0">
      <selection activeCell="J46" sqref="J46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/>
      <c r="Q11" s="1022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281">
        <v>85.2</v>
      </c>
      <c r="C18" s="282">
        <v>83.7</v>
      </c>
      <c r="D18" s="486">
        <v>84.1</v>
      </c>
      <c r="E18" s="486">
        <v>16.3</v>
      </c>
      <c r="F18" s="282">
        <v>85.1</v>
      </c>
      <c r="G18" s="282">
        <v>83.7</v>
      </c>
      <c r="H18" s="284">
        <v>85.5</v>
      </c>
      <c r="I18" s="285">
        <v>89</v>
      </c>
      <c r="J18" s="282">
        <v>89.4</v>
      </c>
      <c r="K18" s="282">
        <v>91.4</v>
      </c>
      <c r="L18" s="486">
        <v>18.600000000000001</v>
      </c>
      <c r="M18" s="282">
        <v>89.6</v>
      </c>
      <c r="N18" s="282">
        <v>90.3</v>
      </c>
      <c r="O18" s="282">
        <v>91.1</v>
      </c>
      <c r="P18" s="281">
        <v>90.8</v>
      </c>
      <c r="Q18" s="282">
        <v>90.3</v>
      </c>
      <c r="R18" s="282">
        <v>89.7</v>
      </c>
      <c r="S18" s="282">
        <v>20.9</v>
      </c>
      <c r="T18" s="282">
        <v>90.2</v>
      </c>
      <c r="U18" s="282">
        <v>89.7</v>
      </c>
      <c r="V18" s="284">
        <v>90.8</v>
      </c>
      <c r="W18" s="596">
        <f t="shared" ref="W18:W23" si="0">SUM(B18:V18)</f>
        <v>1645.3999999999999</v>
      </c>
      <c r="Y18" s="697">
        <v>2</v>
      </c>
    </row>
    <row r="19" spans="1:25" ht="39.950000000000003" customHeight="1" x14ac:dyDescent="0.25">
      <c r="A19" s="146" t="s">
        <v>24</v>
      </c>
      <c r="B19" s="485">
        <v>85.2</v>
      </c>
      <c r="C19" s="282">
        <v>83.7</v>
      </c>
      <c r="D19" s="282">
        <v>84</v>
      </c>
      <c r="E19" s="282">
        <v>16.2</v>
      </c>
      <c r="F19" s="282">
        <v>85.1</v>
      </c>
      <c r="G19" s="282">
        <v>83.7</v>
      </c>
      <c r="H19" s="284">
        <v>85.5</v>
      </c>
      <c r="I19" s="456">
        <v>89</v>
      </c>
      <c r="J19" s="282">
        <v>89.4</v>
      </c>
      <c r="K19" s="282">
        <v>91.4</v>
      </c>
      <c r="L19" s="282">
        <v>18.5</v>
      </c>
      <c r="M19" s="282">
        <v>89.6</v>
      </c>
      <c r="N19" s="282">
        <v>90.3</v>
      </c>
      <c r="O19" s="497">
        <v>91.1</v>
      </c>
      <c r="P19" s="281">
        <v>90.8</v>
      </c>
      <c r="Q19" s="282">
        <v>90.3</v>
      </c>
      <c r="R19" s="282">
        <v>89.7</v>
      </c>
      <c r="S19" s="486">
        <v>20.9</v>
      </c>
      <c r="T19" s="282">
        <v>90.2</v>
      </c>
      <c r="U19" s="282">
        <v>89.7</v>
      </c>
      <c r="V19" s="284">
        <v>90.8</v>
      </c>
      <c r="W19" s="538">
        <f t="shared" ref="W19" si="1">SUM(B19:V19)</f>
        <v>1645.1000000000001</v>
      </c>
      <c r="Y19" s="698">
        <v>3</v>
      </c>
    </row>
    <row r="20" spans="1:25" ht="39.75" customHeight="1" x14ac:dyDescent="0.25">
      <c r="A20" s="146" t="s">
        <v>20</v>
      </c>
      <c r="B20" s="281">
        <v>85.1</v>
      </c>
      <c r="C20" s="282">
        <v>83.7</v>
      </c>
      <c r="D20" s="282">
        <v>84</v>
      </c>
      <c r="E20" s="282">
        <v>16.2</v>
      </c>
      <c r="F20" s="282">
        <v>85.1</v>
      </c>
      <c r="G20" s="282">
        <v>83.7</v>
      </c>
      <c r="H20" s="284">
        <v>85.5</v>
      </c>
      <c r="I20" s="285">
        <v>88.9</v>
      </c>
      <c r="J20" s="282">
        <v>89.4</v>
      </c>
      <c r="K20" s="282">
        <v>91.4</v>
      </c>
      <c r="L20" s="282">
        <v>18.5</v>
      </c>
      <c r="M20" s="282">
        <v>89.6</v>
      </c>
      <c r="N20" s="282">
        <v>90.3</v>
      </c>
      <c r="O20" s="486">
        <v>91.1</v>
      </c>
      <c r="P20" s="281">
        <v>90.8</v>
      </c>
      <c r="Q20" s="282">
        <v>90.3</v>
      </c>
      <c r="R20" s="282">
        <v>89.7</v>
      </c>
      <c r="S20" s="486">
        <v>20.9</v>
      </c>
      <c r="T20" s="282">
        <v>90.2</v>
      </c>
      <c r="U20" s="282">
        <v>89.7</v>
      </c>
      <c r="V20" s="284">
        <v>90.8</v>
      </c>
      <c r="W20" s="538">
        <f t="shared" si="0"/>
        <v>1644.8999999999999</v>
      </c>
      <c r="Y20" s="699">
        <v>4</v>
      </c>
    </row>
    <row r="21" spans="1:25" ht="39.950000000000003" customHeight="1" x14ac:dyDescent="0.25">
      <c r="A21" s="146" t="s">
        <v>28</v>
      </c>
      <c r="B21" s="281">
        <v>85.1</v>
      </c>
      <c r="C21" s="282">
        <v>83.7</v>
      </c>
      <c r="D21" s="282">
        <v>84</v>
      </c>
      <c r="E21" s="282">
        <v>16.2</v>
      </c>
      <c r="F21" s="282">
        <v>85.1</v>
      </c>
      <c r="G21" s="282">
        <v>83.7</v>
      </c>
      <c r="H21" s="284">
        <v>85.5</v>
      </c>
      <c r="I21" s="456">
        <v>88.9</v>
      </c>
      <c r="J21" s="282">
        <v>89.4</v>
      </c>
      <c r="K21" s="282">
        <v>91.4</v>
      </c>
      <c r="L21" s="486">
        <v>18.5</v>
      </c>
      <c r="M21" s="282">
        <v>89.6</v>
      </c>
      <c r="N21" s="282">
        <v>90.3</v>
      </c>
      <c r="O21" s="486">
        <v>91</v>
      </c>
      <c r="P21" s="133">
        <v>90.8</v>
      </c>
      <c r="Q21" s="497">
        <v>90.3</v>
      </c>
      <c r="R21" s="486">
        <v>89.7</v>
      </c>
      <c r="S21" s="497">
        <v>20.8</v>
      </c>
      <c r="T21" s="282">
        <v>90.2</v>
      </c>
      <c r="U21" s="282">
        <v>89.7</v>
      </c>
      <c r="V21" s="284">
        <v>90.8</v>
      </c>
      <c r="W21" s="538">
        <f t="shared" si="0"/>
        <v>1644.6999999999998</v>
      </c>
      <c r="Y21" s="700">
        <v>5</v>
      </c>
    </row>
    <row r="22" spans="1:25" ht="39.950000000000003" customHeight="1" x14ac:dyDescent="0.25">
      <c r="A22" s="146" t="s">
        <v>21</v>
      </c>
      <c r="B22" s="281">
        <v>85.1</v>
      </c>
      <c r="C22" s="282">
        <v>83.7</v>
      </c>
      <c r="D22" s="282">
        <v>84</v>
      </c>
      <c r="E22" s="600">
        <v>16.2</v>
      </c>
      <c r="F22" s="282">
        <v>85.1</v>
      </c>
      <c r="G22" s="282">
        <v>83.7</v>
      </c>
      <c r="H22" s="284">
        <v>85.5</v>
      </c>
      <c r="I22" s="285">
        <v>88.8</v>
      </c>
      <c r="J22" s="282">
        <v>89.4</v>
      </c>
      <c r="K22" s="282">
        <v>91.4</v>
      </c>
      <c r="L22" s="486">
        <v>18.399999999999999</v>
      </c>
      <c r="M22" s="486">
        <v>89.6</v>
      </c>
      <c r="N22" s="486">
        <v>90.3</v>
      </c>
      <c r="O22" s="497">
        <v>90.9</v>
      </c>
      <c r="P22" s="133">
        <v>90.8</v>
      </c>
      <c r="Q22" s="497">
        <v>90.3</v>
      </c>
      <c r="R22" s="497">
        <v>89.6</v>
      </c>
      <c r="S22" s="497">
        <v>20.8</v>
      </c>
      <c r="T22" s="282">
        <v>90.2</v>
      </c>
      <c r="U22" s="282">
        <v>89.7</v>
      </c>
      <c r="V22" s="284">
        <v>90.8</v>
      </c>
      <c r="W22" s="538">
        <f t="shared" si="0"/>
        <v>1644.2999999999997</v>
      </c>
      <c r="Y22" s="701">
        <v>6</v>
      </c>
    </row>
    <row r="23" spans="1:25" ht="39.950000000000003" customHeight="1" x14ac:dyDescent="0.25">
      <c r="A23" s="146" t="s">
        <v>22</v>
      </c>
      <c r="B23" s="281">
        <v>85.1</v>
      </c>
      <c r="C23" s="282">
        <v>83.7</v>
      </c>
      <c r="D23" s="282">
        <v>84</v>
      </c>
      <c r="E23" s="282">
        <v>15.9</v>
      </c>
      <c r="F23" s="282">
        <v>85.1</v>
      </c>
      <c r="G23" s="282">
        <v>83.7</v>
      </c>
      <c r="H23" s="284">
        <v>85.5</v>
      </c>
      <c r="I23" s="285">
        <v>88.8</v>
      </c>
      <c r="J23" s="282">
        <v>89.4</v>
      </c>
      <c r="K23" s="282">
        <v>91.4</v>
      </c>
      <c r="L23" s="282">
        <v>18.3</v>
      </c>
      <c r="M23" s="282">
        <v>89.5</v>
      </c>
      <c r="N23" s="282">
        <v>90.2</v>
      </c>
      <c r="O23" s="497">
        <v>90.9</v>
      </c>
      <c r="P23" s="133">
        <v>90.8</v>
      </c>
      <c r="Q23" s="497">
        <v>90.3</v>
      </c>
      <c r="R23" s="497">
        <v>89.6</v>
      </c>
      <c r="S23" s="497">
        <v>20.8</v>
      </c>
      <c r="T23" s="282">
        <v>90.2</v>
      </c>
      <c r="U23" s="282">
        <v>89.7</v>
      </c>
      <c r="V23" s="499">
        <v>90.8</v>
      </c>
      <c r="W23" s="538">
        <f t="shared" si="0"/>
        <v>1643.6999999999998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85.1</v>
      </c>
      <c r="C24" s="282">
        <v>83.7</v>
      </c>
      <c r="D24" s="282">
        <v>84</v>
      </c>
      <c r="E24" s="282">
        <v>16.2</v>
      </c>
      <c r="F24" s="282">
        <v>85.1</v>
      </c>
      <c r="G24" s="282">
        <v>83.7</v>
      </c>
      <c r="H24" s="284">
        <v>85.5</v>
      </c>
      <c r="I24" s="285">
        <v>88.8</v>
      </c>
      <c r="J24" s="282">
        <v>89.4</v>
      </c>
      <c r="K24" s="282">
        <v>91.4</v>
      </c>
      <c r="L24" s="282">
        <v>18.399999999999999</v>
      </c>
      <c r="M24" s="282">
        <v>89.6</v>
      </c>
      <c r="N24" s="282">
        <v>90.3</v>
      </c>
      <c r="O24" s="497">
        <v>90.9</v>
      </c>
      <c r="P24" s="485">
        <v>90.8</v>
      </c>
      <c r="Q24" s="497">
        <v>90.3</v>
      </c>
      <c r="R24" s="497">
        <v>89.6</v>
      </c>
      <c r="S24" s="497">
        <v>20.8</v>
      </c>
      <c r="T24" s="282">
        <v>90.2</v>
      </c>
      <c r="U24" s="282">
        <v>89.7</v>
      </c>
      <c r="V24" s="498">
        <v>90.7</v>
      </c>
      <c r="W24" s="538">
        <f>SUM(B24:V24)</f>
        <v>1644.1999999999998</v>
      </c>
    </row>
    <row r="25" spans="1:25" ht="41.45" customHeight="1" x14ac:dyDescent="0.25">
      <c r="A25" s="182" t="s">
        <v>9</v>
      </c>
      <c r="B25" s="122">
        <f>SUM(B18:B24)</f>
        <v>595.90000000000009</v>
      </c>
      <c r="C25" s="120">
        <f>SUM(C18:C24)</f>
        <v>585.9</v>
      </c>
      <c r="D25" s="120">
        <f t="shared" ref="D25:V25" si="2">SUM(D18:D24)</f>
        <v>588.1</v>
      </c>
      <c r="E25" s="120">
        <f>SUM(E18:E24)</f>
        <v>113.20000000000002</v>
      </c>
      <c r="F25" s="120">
        <f t="shared" si="2"/>
        <v>595.70000000000005</v>
      </c>
      <c r="G25" s="120">
        <f t="shared" si="2"/>
        <v>585.9</v>
      </c>
      <c r="H25" s="121">
        <f t="shared" si="2"/>
        <v>598.5</v>
      </c>
      <c r="I25" s="122">
        <f t="shared" si="2"/>
        <v>622.19999999999993</v>
      </c>
      <c r="J25" s="120">
        <f t="shared" si="2"/>
        <v>625.79999999999995</v>
      </c>
      <c r="K25" s="120">
        <f t="shared" si="2"/>
        <v>639.79999999999995</v>
      </c>
      <c r="L25" s="120">
        <f t="shared" si="2"/>
        <v>129.19999999999999</v>
      </c>
      <c r="M25" s="120">
        <f t="shared" si="2"/>
        <v>627.1</v>
      </c>
      <c r="N25" s="120">
        <f t="shared" si="2"/>
        <v>632</v>
      </c>
      <c r="O25" s="121">
        <f t="shared" si="2"/>
        <v>636.99999999999989</v>
      </c>
      <c r="P25" s="122">
        <f t="shared" si="2"/>
        <v>635.59999999999991</v>
      </c>
      <c r="Q25" s="120">
        <f t="shared" si="2"/>
        <v>632.09999999999991</v>
      </c>
      <c r="R25" s="120">
        <f t="shared" si="2"/>
        <v>627.6</v>
      </c>
      <c r="S25" s="120">
        <f>SUM(S18:S24)</f>
        <v>145.9</v>
      </c>
      <c r="T25" s="120">
        <f t="shared" si="2"/>
        <v>631.40000000000009</v>
      </c>
      <c r="U25" s="120">
        <f t="shared" si="2"/>
        <v>627.90000000000009</v>
      </c>
      <c r="V25" s="121">
        <f t="shared" si="2"/>
        <v>635.5</v>
      </c>
      <c r="W25" s="361">
        <f>SUM(W18:W24)</f>
        <v>11512.3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154.10553651745553</v>
      </c>
      <c r="Y26" s="41"/>
    </row>
    <row r="27" spans="1:25" s="2" customFormat="1" ht="33" customHeight="1" x14ac:dyDescent="0.25">
      <c r="A27" s="149" t="s">
        <v>12</v>
      </c>
      <c r="B27" s="26">
        <v>553</v>
      </c>
      <c r="C27" s="27">
        <v>544</v>
      </c>
      <c r="D27" s="27">
        <v>546</v>
      </c>
      <c r="E27" s="27">
        <v>102</v>
      </c>
      <c r="F27" s="27">
        <v>553</v>
      </c>
      <c r="G27" s="27">
        <v>543</v>
      </c>
      <c r="H27" s="28">
        <v>556</v>
      </c>
      <c r="I27" s="26">
        <v>575</v>
      </c>
      <c r="J27" s="27">
        <v>581</v>
      </c>
      <c r="K27" s="27">
        <v>594</v>
      </c>
      <c r="L27" s="27">
        <v>118</v>
      </c>
      <c r="M27" s="27">
        <v>581</v>
      </c>
      <c r="N27" s="27">
        <v>586</v>
      </c>
      <c r="O27" s="28">
        <v>590</v>
      </c>
      <c r="P27" s="26">
        <v>589</v>
      </c>
      <c r="Q27" s="27">
        <v>587</v>
      </c>
      <c r="R27" s="27">
        <v>582</v>
      </c>
      <c r="S27" s="27">
        <v>135</v>
      </c>
      <c r="T27" s="27">
        <v>586</v>
      </c>
      <c r="U27" s="27">
        <v>582</v>
      </c>
      <c r="V27" s="28">
        <v>589</v>
      </c>
      <c r="W27" s="29">
        <f>SUM(B27:V27)</f>
        <v>10672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85.116956666666539</v>
      </c>
      <c r="C28" s="30">
        <f t="shared" ref="C28:V28" si="3">((((C26*7)*C27)/1000-C18)/6)</f>
        <v>83.750586666666536</v>
      </c>
      <c r="D28" s="30">
        <f t="shared" si="3"/>
        <v>84.04311333333321</v>
      </c>
      <c r="E28" s="30">
        <f t="shared" si="3"/>
        <v>15.602193333333311</v>
      </c>
      <c r="F28" s="30">
        <f t="shared" si="3"/>
        <v>85.133623333333205</v>
      </c>
      <c r="G28" s="30">
        <f t="shared" si="3"/>
        <v>83.570989999999867</v>
      </c>
      <c r="H28" s="30">
        <f t="shared" si="3"/>
        <v>85.605746666666519</v>
      </c>
      <c r="I28" s="30">
        <f t="shared" si="3"/>
        <v>88.434749999999852</v>
      </c>
      <c r="J28" s="30">
        <f t="shared" si="3"/>
        <v>89.445663333333201</v>
      </c>
      <c r="K28" s="30">
        <f t="shared" si="3"/>
        <v>91.44708666666655</v>
      </c>
      <c r="L28" s="30">
        <f t="shared" si="3"/>
        <v>18.092406666666637</v>
      </c>
      <c r="M28" s="30">
        <f t="shared" si="3"/>
        <v>89.412329999999869</v>
      </c>
      <c r="N28" s="30">
        <f t="shared" si="3"/>
        <v>90.193646666666538</v>
      </c>
      <c r="O28" s="30">
        <f t="shared" si="3"/>
        <v>90.778699999999844</v>
      </c>
      <c r="P28" s="30">
        <f t="shared" si="3"/>
        <v>90.649103333333201</v>
      </c>
      <c r="Q28" s="30">
        <f t="shared" si="3"/>
        <v>90.373243333333207</v>
      </c>
      <c r="R28" s="30">
        <f t="shared" si="3"/>
        <v>89.575259999999844</v>
      </c>
      <c r="S28" s="30">
        <f t="shared" si="3"/>
        <v>20.762216666666635</v>
      </c>
      <c r="T28" s="30">
        <f t="shared" si="3"/>
        <v>90.21031333333319</v>
      </c>
      <c r="U28" s="30">
        <f t="shared" si="3"/>
        <v>89.575259999999844</v>
      </c>
      <c r="V28" s="30">
        <f t="shared" si="3"/>
        <v>90.649103333333201</v>
      </c>
      <c r="W28" s="362">
        <f>((W25*1000)/7)/W27</f>
        <v>154.10553651745556</v>
      </c>
      <c r="Y28" s="41"/>
    </row>
    <row r="29" spans="1:25" ht="33.75" customHeight="1" x14ac:dyDescent="0.25">
      <c r="A29" s="151" t="s">
        <v>14</v>
      </c>
      <c r="B29" s="281">
        <f>((B27*B26)*7)/1000</f>
        <v>595.90173999999934</v>
      </c>
      <c r="C29" s="282">
        <f>((C27*C26)*7)/1000</f>
        <v>586.20351999999923</v>
      </c>
      <c r="D29" s="282">
        <f t="shared" ref="D29:V29" si="4">((D27*D26)*7)/1000</f>
        <v>588.35867999999925</v>
      </c>
      <c r="E29" s="282">
        <f t="shared" si="4"/>
        <v>109.91315999999986</v>
      </c>
      <c r="F29" s="282">
        <f t="shared" si="4"/>
        <v>595.90173999999934</v>
      </c>
      <c r="G29" s="282">
        <f t="shared" si="4"/>
        <v>585.12593999999922</v>
      </c>
      <c r="H29" s="284">
        <f t="shared" si="4"/>
        <v>599.13447999999914</v>
      </c>
      <c r="I29" s="281">
        <f t="shared" si="4"/>
        <v>619.60849999999914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127.15443999999982</v>
      </c>
      <c r="M29" s="282">
        <f t="shared" si="4"/>
        <v>626.07397999999921</v>
      </c>
      <c r="N29" s="282">
        <f t="shared" si="4"/>
        <v>631.46187999999916</v>
      </c>
      <c r="O29" s="284">
        <f t="shared" si="4"/>
        <v>635.77219999999909</v>
      </c>
      <c r="P29" s="281">
        <f t="shared" si="4"/>
        <v>634.69461999999919</v>
      </c>
      <c r="Q29" s="282">
        <f t="shared" si="4"/>
        <v>632.53945999999917</v>
      </c>
      <c r="R29" s="282">
        <f t="shared" si="4"/>
        <v>627.15155999999922</v>
      </c>
      <c r="S29" s="282">
        <f t="shared" si="4"/>
        <v>145.47329999999982</v>
      </c>
      <c r="T29" s="282">
        <f t="shared" si="4"/>
        <v>631.46187999999916</v>
      </c>
      <c r="U29" s="282">
        <f t="shared" si="4"/>
        <v>627.15155999999922</v>
      </c>
      <c r="V29" s="284">
        <f t="shared" si="4"/>
        <v>634.69461999999919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153.93955050374581</v>
      </c>
      <c r="C30" s="38">
        <f t="shared" ref="C30:V30" si="5">+(C25/C27)/7*1000</f>
        <v>153.86029411764704</v>
      </c>
      <c r="D30" s="38">
        <f t="shared" si="5"/>
        <v>153.87231815803244</v>
      </c>
      <c r="E30" s="38">
        <f t="shared" si="5"/>
        <v>158.54341736694681</v>
      </c>
      <c r="F30" s="38">
        <f t="shared" si="5"/>
        <v>153.88788426763114</v>
      </c>
      <c r="G30" s="38">
        <f t="shared" si="5"/>
        <v>154.14364640883977</v>
      </c>
      <c r="H30" s="39">
        <f t="shared" si="5"/>
        <v>153.77697841726621</v>
      </c>
      <c r="I30" s="37">
        <f t="shared" si="5"/>
        <v>154.58385093167701</v>
      </c>
      <c r="J30" s="38">
        <f t="shared" si="5"/>
        <v>153.87263339070566</v>
      </c>
      <c r="K30" s="38">
        <f t="shared" si="5"/>
        <v>153.87205387205387</v>
      </c>
      <c r="L30" s="38">
        <f t="shared" si="5"/>
        <v>156.41646489104113</v>
      </c>
      <c r="M30" s="38">
        <f t="shared" si="5"/>
        <v>154.1922793213671</v>
      </c>
      <c r="N30" s="38">
        <f t="shared" si="5"/>
        <v>154.07118478790835</v>
      </c>
      <c r="O30" s="39">
        <f t="shared" si="5"/>
        <v>154.23728813559319</v>
      </c>
      <c r="P30" s="37">
        <f t="shared" si="5"/>
        <v>154.15959252971138</v>
      </c>
      <c r="Q30" s="38">
        <f t="shared" si="5"/>
        <v>153.83304940374785</v>
      </c>
      <c r="R30" s="38">
        <f t="shared" si="5"/>
        <v>154.0500736377025</v>
      </c>
      <c r="S30" s="38">
        <f t="shared" si="5"/>
        <v>154.39153439153438</v>
      </c>
      <c r="T30" s="38">
        <f t="shared" si="5"/>
        <v>153.92491467576795</v>
      </c>
      <c r="U30" s="38">
        <f t="shared" si="5"/>
        <v>154.12371134020623</v>
      </c>
      <c r="V30" s="39">
        <f t="shared" si="5"/>
        <v>154.13533834586465</v>
      </c>
      <c r="W30" s="40"/>
    </row>
    <row r="31" spans="1:25" ht="33.75" customHeight="1" x14ac:dyDescent="0.25">
      <c r="A31" s="41"/>
      <c r="B31" s="645">
        <f t="shared" ref="B31:V32" si="6">B29-B25</f>
        <v>1.7399999992449011E-3</v>
      </c>
      <c r="C31" s="645">
        <f t="shared" si="6"/>
        <v>0.30351999999925283</v>
      </c>
      <c r="D31" s="645">
        <f t="shared" si="6"/>
        <v>0.25867999999923086</v>
      </c>
      <c r="E31" s="645">
        <f t="shared" si="6"/>
        <v>-3.2868400000001543</v>
      </c>
      <c r="F31" s="645">
        <f t="shared" si="6"/>
        <v>0.20173999999929038</v>
      </c>
      <c r="G31" s="645">
        <f t="shared" si="6"/>
        <v>-0.77406000000075892</v>
      </c>
      <c r="H31" s="645">
        <f t="shared" si="6"/>
        <v>0.63447999999914373</v>
      </c>
      <c r="I31" s="645">
        <f t="shared" si="6"/>
        <v>-2.5915000000007922</v>
      </c>
      <c r="J31" s="645">
        <f t="shared" si="6"/>
        <v>0.2739799999992556</v>
      </c>
      <c r="K31" s="645">
        <f t="shared" si="6"/>
        <v>0.28251999999929467</v>
      </c>
      <c r="L31" s="645">
        <f t="shared" si="6"/>
        <v>-2.0455600000001652</v>
      </c>
      <c r="M31" s="645">
        <f t="shared" si="6"/>
        <v>-1.0260200000008126</v>
      </c>
      <c r="N31" s="645">
        <f t="shared" si="6"/>
        <v>-0.53812000000084481</v>
      </c>
      <c r="O31" s="645">
        <f t="shared" si="6"/>
        <v>-1.2278000000007978</v>
      </c>
      <c r="P31" s="645">
        <f t="shared" si="6"/>
        <v>-0.90538000000071861</v>
      </c>
      <c r="Q31" s="645">
        <f t="shared" si="6"/>
        <v>0.43945999999925789</v>
      </c>
      <c r="R31" s="645">
        <f t="shared" si="6"/>
        <v>-0.44844000000080086</v>
      </c>
      <c r="S31" s="645">
        <f t="shared" si="6"/>
        <v>-0.42670000000018149</v>
      </c>
      <c r="T31" s="645">
        <f t="shared" si="6"/>
        <v>6.1879999999064239E-2</v>
      </c>
      <c r="U31" s="645">
        <f t="shared" si="6"/>
        <v>-0.74844000000086908</v>
      </c>
      <c r="V31" s="645">
        <f t="shared" si="6"/>
        <v>-0.80538000000080956</v>
      </c>
      <c r="W31" s="42"/>
      <c r="X31" s="42"/>
    </row>
    <row r="32" spans="1:25" ht="33.75" customHeight="1" x14ac:dyDescent="0.25">
      <c r="A32" s="41"/>
      <c r="B32" s="42">
        <f>B30-B26</f>
        <v>-4.4949625399226534E-4</v>
      </c>
      <c r="C32" s="42">
        <f t="shared" si="6"/>
        <v>-7.9705882352754998E-2</v>
      </c>
      <c r="D32" s="42">
        <f t="shared" si="6"/>
        <v>-6.7681841967356604E-2</v>
      </c>
      <c r="E32" s="42">
        <f t="shared" si="6"/>
        <v>4.6034173669470135</v>
      </c>
      <c r="F32" s="42">
        <f t="shared" si="6"/>
        <v>-5.2115732368662293E-2</v>
      </c>
      <c r="G32" s="42">
        <f t="shared" si="6"/>
        <v>0.20364640883997254</v>
      </c>
      <c r="H32" s="42">
        <f t="shared" si="6"/>
        <v>-0.16302158273359169</v>
      </c>
      <c r="I32" s="42">
        <f t="shared" si="6"/>
        <v>0.64385093167720697</v>
      </c>
      <c r="J32" s="42">
        <f t="shared" si="6"/>
        <v>-6.7366609294140289E-2</v>
      </c>
      <c r="K32" s="42">
        <f t="shared" si="6"/>
        <v>-6.7946127945930357E-2</v>
      </c>
      <c r="L32" s="42">
        <f t="shared" si="6"/>
        <v>2.4764648910413314</v>
      </c>
      <c r="M32" s="42">
        <f t="shared" si="6"/>
        <v>0.25227932136729692</v>
      </c>
      <c r="N32" s="42">
        <f t="shared" si="6"/>
        <v>0.13118478790855193</v>
      </c>
      <c r="O32" s="42">
        <f t="shared" si="6"/>
        <v>0.29728813559339073</v>
      </c>
      <c r="P32" s="42">
        <f t="shared" si="6"/>
        <v>0.21959252971157639</v>
      </c>
      <c r="Q32" s="42">
        <f>Q30-Q26</f>
        <v>-0.10695059625194858</v>
      </c>
      <c r="R32" s="42">
        <f t="shared" si="6"/>
        <v>0.11007363770269762</v>
      </c>
      <c r="S32" s="42">
        <f t="shared" si="6"/>
        <v>0.45153439153457953</v>
      </c>
      <c r="T32" s="42">
        <f t="shared" si="6"/>
        <v>-1.5085324231847608E-2</v>
      </c>
      <c r="U32" s="42">
        <f t="shared" si="6"/>
        <v>0.18371134020642899</v>
      </c>
      <c r="V32" s="42">
        <f t="shared" si="6"/>
        <v>0.19533834586485455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2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75.5</v>
      </c>
      <c r="D39" s="724">
        <v>8.1999999999999993</v>
      </c>
      <c r="E39" s="282">
        <v>83.7</v>
      </c>
      <c r="F39" s="486">
        <v>83.9</v>
      </c>
      <c r="G39" s="284">
        <v>84.9</v>
      </c>
      <c r="H39" s="641">
        <f t="shared" ref="H39:H46" si="7">SUM(B39:G39)</f>
        <v>414.1</v>
      </c>
      <c r="I39" s="49"/>
      <c r="J39" s="42"/>
      <c r="K39" s="42"/>
      <c r="L39" s="42"/>
      <c r="M39" s="2"/>
      <c r="N39" s="146" t="s">
        <v>51</v>
      </c>
      <c r="O39" s="281">
        <v>5.6</v>
      </c>
      <c r="P39" s="282">
        <v>5.8</v>
      </c>
      <c r="Q39" s="282">
        <v>0.6</v>
      </c>
      <c r="R39" s="282">
        <v>6.3</v>
      </c>
      <c r="S39" s="282">
        <v>6.3</v>
      </c>
      <c r="T39" s="284">
        <v>6.1</v>
      </c>
      <c r="U39" s="641">
        <f t="shared" ref="U39:U46" si="8">SUM(O39:T39)</f>
        <v>30.699999999999996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600">
        <v>75.5</v>
      </c>
      <c r="D40" s="720">
        <v>7.9</v>
      </c>
      <c r="E40" s="282">
        <v>83.7</v>
      </c>
      <c r="F40" s="282">
        <v>83.8</v>
      </c>
      <c r="G40" s="284">
        <v>84.9</v>
      </c>
      <c r="H40" s="538">
        <f t="shared" si="7"/>
        <v>413.70000000000005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6.3</v>
      </c>
      <c r="S40" s="282">
        <v>6.3</v>
      </c>
      <c r="T40" s="284">
        <v>6.1</v>
      </c>
      <c r="U40" s="538">
        <f t="shared" si="8"/>
        <v>30.799999999999997</v>
      </c>
      <c r="V40" s="49"/>
      <c r="W40" s="48"/>
    </row>
    <row r="41" spans="1:26" ht="33.75" customHeight="1" x14ac:dyDescent="0.25">
      <c r="A41" s="146" t="s">
        <v>20</v>
      </c>
      <c r="B41" s="281">
        <v>77.900000000000006</v>
      </c>
      <c r="C41" s="282">
        <v>75.2</v>
      </c>
      <c r="D41" s="720">
        <v>7.8</v>
      </c>
      <c r="E41" s="282">
        <v>83.7</v>
      </c>
      <c r="F41" s="282">
        <v>83.8</v>
      </c>
      <c r="G41" s="284">
        <v>84.9</v>
      </c>
      <c r="H41" s="538">
        <f t="shared" si="7"/>
        <v>413.30000000000007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0.6</v>
      </c>
      <c r="R41" s="282">
        <v>6.4</v>
      </c>
      <c r="S41" s="282">
        <v>6.4</v>
      </c>
      <c r="T41" s="284">
        <v>6.1</v>
      </c>
      <c r="U41" s="538">
        <f t="shared" si="8"/>
        <v>31</v>
      </c>
      <c r="V41" s="49"/>
      <c r="W41" s="48"/>
    </row>
    <row r="42" spans="1:26" ht="33.75" customHeight="1" x14ac:dyDescent="0.25">
      <c r="A42" s="146" t="s">
        <v>28</v>
      </c>
      <c r="B42" s="281">
        <v>77.900000000000006</v>
      </c>
      <c r="C42" s="282">
        <v>75.2</v>
      </c>
      <c r="D42" s="722">
        <v>7.7</v>
      </c>
      <c r="E42" s="282">
        <v>83.7</v>
      </c>
      <c r="F42" s="282">
        <v>83.8</v>
      </c>
      <c r="G42" s="284">
        <v>84.9</v>
      </c>
      <c r="H42" s="538">
        <f t="shared" si="7"/>
        <v>413.20000000000005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0.6</v>
      </c>
      <c r="R42" s="282">
        <v>6.4</v>
      </c>
      <c r="S42" s="282">
        <v>6.4</v>
      </c>
      <c r="T42" s="284">
        <v>6.1</v>
      </c>
      <c r="U42" s="538">
        <f t="shared" si="8"/>
        <v>31</v>
      </c>
      <c r="V42" s="49"/>
      <c r="W42" s="48"/>
    </row>
    <row r="43" spans="1:26" ht="33.75" customHeight="1" x14ac:dyDescent="0.25">
      <c r="A43" s="146" t="s">
        <v>21</v>
      </c>
      <c r="B43" s="281">
        <v>77.900000000000006</v>
      </c>
      <c r="C43" s="282">
        <v>75.2</v>
      </c>
      <c r="D43" s="720">
        <v>7.7</v>
      </c>
      <c r="E43" s="486">
        <v>83.7</v>
      </c>
      <c r="F43" s="282">
        <v>83.8</v>
      </c>
      <c r="G43" s="284">
        <v>84.9</v>
      </c>
      <c r="H43" s="538">
        <f t="shared" si="7"/>
        <v>413.20000000000005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8"/>
        <v>31.1</v>
      </c>
      <c r="V43" s="49"/>
      <c r="W43" s="48"/>
    </row>
    <row r="44" spans="1:26" ht="33.75" customHeight="1" x14ac:dyDescent="0.25">
      <c r="A44" s="146" t="s">
        <v>22</v>
      </c>
      <c r="B44" s="281">
        <v>77.900000000000006</v>
      </c>
      <c r="C44" s="282">
        <v>75.2</v>
      </c>
      <c r="D44" s="722">
        <v>7.6</v>
      </c>
      <c r="E44" s="486">
        <v>83.6</v>
      </c>
      <c r="F44" s="486">
        <v>83.8</v>
      </c>
      <c r="G44" s="284">
        <v>84.9</v>
      </c>
      <c r="H44" s="538">
        <f t="shared" si="7"/>
        <v>413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31.2</v>
      </c>
      <c r="V44" s="49"/>
      <c r="W44" s="48"/>
    </row>
    <row r="45" spans="1:26" ht="33.75" customHeight="1" thickBot="1" x14ac:dyDescent="0.3">
      <c r="A45" s="146" t="s">
        <v>23</v>
      </c>
      <c r="B45" s="485">
        <v>77.900000000000006</v>
      </c>
      <c r="C45" s="486">
        <v>75.2</v>
      </c>
      <c r="D45" s="722">
        <v>7.6</v>
      </c>
      <c r="E45" s="497">
        <v>83.5</v>
      </c>
      <c r="F45" s="497">
        <v>83.7</v>
      </c>
      <c r="G45" s="284">
        <v>84.9</v>
      </c>
      <c r="H45" s="723">
        <f t="shared" si="7"/>
        <v>412.80000000000007</v>
      </c>
      <c r="I45" s="559"/>
      <c r="J45" s="41"/>
      <c r="K45" s="41"/>
      <c r="L45" s="41"/>
      <c r="M45" s="2"/>
      <c r="N45" s="146" t="s">
        <v>23</v>
      </c>
      <c r="O45" s="281">
        <v>5.9</v>
      </c>
      <c r="P45" s="282">
        <v>6</v>
      </c>
      <c r="Q45" s="282">
        <v>0.7</v>
      </c>
      <c r="R45" s="282">
        <v>6.7</v>
      </c>
      <c r="S45" s="282">
        <v>6.7</v>
      </c>
      <c r="T45" s="284">
        <v>6.4</v>
      </c>
      <c r="U45" s="538">
        <f t="shared" si="8"/>
        <v>32.4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545.29999999999995</v>
      </c>
      <c r="C46" s="706">
        <f t="shared" si="9"/>
        <v>527</v>
      </c>
      <c r="D46" s="706">
        <f>SUM(D39:D45)</f>
        <v>54.500000000000007</v>
      </c>
      <c r="E46" s="706">
        <f t="shared" si="9"/>
        <v>585.6</v>
      </c>
      <c r="F46" s="706">
        <f t="shared" si="9"/>
        <v>586.6</v>
      </c>
      <c r="G46" s="707">
        <f t="shared" si="9"/>
        <v>594.29999999999995</v>
      </c>
      <c r="H46" s="560">
        <f t="shared" si="7"/>
        <v>2893.3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153.31178465451464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510</v>
      </c>
      <c r="C48" s="27">
        <v>490</v>
      </c>
      <c r="D48" s="27">
        <v>47</v>
      </c>
      <c r="E48" s="27">
        <v>546</v>
      </c>
      <c r="F48" s="27">
        <v>547</v>
      </c>
      <c r="G48" s="28">
        <v>556</v>
      </c>
      <c r="H48" s="129">
        <f>SUM(B48:G48)</f>
        <v>2696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77.944566666666674</v>
      </c>
      <c r="C49" s="31">
        <f t="shared" ref="C49:G49" si="11">((((C47*7)*C48)/1000-C39)/6)</f>
        <v>74.778766666666669</v>
      </c>
      <c r="D49" s="31">
        <f t="shared" si="11"/>
        <v>7.0129633333333343</v>
      </c>
      <c r="E49" s="31">
        <f t="shared" si="11"/>
        <v>83.396339999999995</v>
      </c>
      <c r="F49" s="31">
        <f t="shared" si="11"/>
        <v>83.541296666666668</v>
      </c>
      <c r="G49" s="32">
        <f t="shared" si="11"/>
        <v>84.979240000000019</v>
      </c>
      <c r="H49" s="130">
        <f>((H46*1000)/H48)/7</f>
        <v>153.31178465451464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6.4631000000000016</v>
      </c>
      <c r="S49" s="30">
        <f t="shared" si="12"/>
        <v>6.4631000000000016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545.56740000000002</v>
      </c>
      <c r="C50" s="282">
        <f t="shared" ref="C50:G50" si="13">((C48*C47)*7)/1000</f>
        <v>524.17259999999999</v>
      </c>
      <c r="D50" s="282">
        <f t="shared" si="13"/>
        <v>50.27778</v>
      </c>
      <c r="E50" s="282">
        <f t="shared" si="13"/>
        <v>584.07803999999999</v>
      </c>
      <c r="F50" s="282">
        <f t="shared" si="13"/>
        <v>585.1477799999999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152.74509803921569</v>
      </c>
      <c r="C51" s="38">
        <f t="shared" si="15"/>
        <v>153.64431486880468</v>
      </c>
      <c r="D51" s="38">
        <f t="shared" si="15"/>
        <v>165.65349544072953</v>
      </c>
      <c r="E51" s="38">
        <f t="shared" si="15"/>
        <v>153.21821036106749</v>
      </c>
      <c r="F51" s="38">
        <f t="shared" si="15"/>
        <v>153.19926873857406</v>
      </c>
      <c r="G51" s="39">
        <f t="shared" si="15"/>
        <v>152.69784172661869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0.26740000000006603</v>
      </c>
      <c r="C52" s="645">
        <f t="shared" si="17"/>
        <v>-2.8274000000000115</v>
      </c>
      <c r="D52" s="645">
        <f t="shared" si="17"/>
        <v>-4.2222200000000072</v>
      </c>
      <c r="E52" s="645">
        <f t="shared" si="17"/>
        <v>-1.5219600000000355</v>
      </c>
      <c r="F52" s="645">
        <f t="shared" si="17"/>
        <v>-1.4522200000001249</v>
      </c>
      <c r="G52" s="645">
        <f t="shared" si="17"/>
        <v>0.47543999999993503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-7.4901960784302446E-2</v>
      </c>
      <c r="C53" s="42">
        <f t="shared" si="17"/>
        <v>0.82431486880469151</v>
      </c>
      <c r="D53" s="42">
        <f t="shared" si="17"/>
        <v>12.833495440729536</v>
      </c>
      <c r="E53" s="42">
        <f t="shared" si="17"/>
        <v>0.3982103610674983</v>
      </c>
      <c r="F53" s="42">
        <f t="shared" si="17"/>
        <v>0.37926873857406918</v>
      </c>
      <c r="G53" s="42">
        <f t="shared" si="17"/>
        <v>-0.12215827338130225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5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6.8</v>
      </c>
      <c r="C60" s="668">
        <v>6.5</v>
      </c>
      <c r="D60" s="668">
        <v>6.6</v>
      </c>
      <c r="E60" s="668">
        <v>1.5</v>
      </c>
      <c r="F60" s="668">
        <v>6.8</v>
      </c>
      <c r="G60" s="668">
        <v>6.9</v>
      </c>
      <c r="H60" s="669">
        <v>6.9</v>
      </c>
      <c r="I60" s="667">
        <v>7</v>
      </c>
      <c r="J60" s="668">
        <v>7</v>
      </c>
      <c r="K60" s="668">
        <v>7.1</v>
      </c>
      <c r="L60" s="668">
        <v>1.7</v>
      </c>
      <c r="M60" s="668">
        <v>7</v>
      </c>
      <c r="N60" s="668">
        <v>7.1</v>
      </c>
      <c r="O60" s="669">
        <v>6.9</v>
      </c>
      <c r="P60" s="667">
        <v>7.1</v>
      </c>
      <c r="Q60" s="668">
        <v>7.1</v>
      </c>
      <c r="R60" s="668">
        <v>7</v>
      </c>
      <c r="S60" s="668">
        <v>1.5</v>
      </c>
      <c r="T60" s="668">
        <v>7</v>
      </c>
      <c r="U60" s="668">
        <v>7</v>
      </c>
      <c r="V60" s="669">
        <v>6.9</v>
      </c>
      <c r="W60" s="703">
        <f t="shared" ref="W60:W66" si="19">SUM(B60:V60)</f>
        <v>129.39999999999998</v>
      </c>
      <c r="X60" s="642"/>
      <c r="Y60" s="642"/>
    </row>
    <row r="61" spans="1:25" ht="33.75" customHeight="1" x14ac:dyDescent="0.25">
      <c r="A61" s="146" t="s">
        <v>24</v>
      </c>
      <c r="B61" s="133">
        <v>6.8</v>
      </c>
      <c r="C61" s="497">
        <v>6.5</v>
      </c>
      <c r="D61" s="497">
        <v>6.6</v>
      </c>
      <c r="E61" s="497">
        <v>1.6</v>
      </c>
      <c r="F61" s="497">
        <v>6.8</v>
      </c>
      <c r="G61" s="497">
        <v>6.9</v>
      </c>
      <c r="H61" s="498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7</v>
      </c>
      <c r="N61" s="497">
        <v>7.1</v>
      </c>
      <c r="O61" s="498">
        <v>6.9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7.1</v>
      </c>
      <c r="V61" s="498">
        <v>6.9</v>
      </c>
      <c r="W61" s="703">
        <f t="shared" si="19"/>
        <v>129.69999999999999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6.7</v>
      </c>
      <c r="E62" s="497">
        <v>1.6</v>
      </c>
      <c r="F62" s="497">
        <v>6.8</v>
      </c>
      <c r="G62" s="497">
        <v>6.9</v>
      </c>
      <c r="H62" s="498">
        <v>6.9</v>
      </c>
      <c r="I62" s="133">
        <v>7</v>
      </c>
      <c r="J62" s="497">
        <v>7</v>
      </c>
      <c r="K62" s="497">
        <v>7.2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6.9</v>
      </c>
      <c r="W62" s="703">
        <f t="shared" si="19"/>
        <v>129.89999999999998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6.5</v>
      </c>
      <c r="D63" s="497">
        <v>6.7</v>
      </c>
      <c r="E63" s="497">
        <v>1.6</v>
      </c>
      <c r="F63" s="497">
        <v>6.8</v>
      </c>
      <c r="G63" s="497">
        <v>7</v>
      </c>
      <c r="H63" s="498">
        <v>7</v>
      </c>
      <c r="I63" s="133">
        <v>7</v>
      </c>
      <c r="J63" s="497">
        <v>7</v>
      </c>
      <c r="K63" s="497">
        <v>7.2</v>
      </c>
      <c r="L63" s="497">
        <v>1.8</v>
      </c>
      <c r="M63" s="497">
        <v>7</v>
      </c>
      <c r="N63" s="497">
        <v>7.1</v>
      </c>
      <c r="O63" s="498">
        <v>7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130.39999999999998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1.6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9">
        <v>6.9</v>
      </c>
      <c r="W64" s="703">
        <f t="shared" si="19"/>
        <v>130.79999999999998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1.6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7.1</v>
      </c>
      <c r="V65" s="499">
        <v>7</v>
      </c>
      <c r="W65" s="703">
        <f t="shared" si="19"/>
        <v>131.1</v>
      </c>
      <c r="X65" s="642"/>
      <c r="Y65" s="642"/>
    </row>
    <row r="66" spans="1:25" ht="33.75" customHeight="1" thickBot="1" x14ac:dyDescent="0.3">
      <c r="A66" s="146" t="s">
        <v>23</v>
      </c>
      <c r="B66" s="670">
        <v>7.2</v>
      </c>
      <c r="C66" s="671">
        <v>6.9</v>
      </c>
      <c r="D66" s="671">
        <v>7</v>
      </c>
      <c r="E66" s="497">
        <v>1.7</v>
      </c>
      <c r="F66" s="497">
        <v>7.2</v>
      </c>
      <c r="G66" s="671">
        <v>7.3</v>
      </c>
      <c r="H66" s="672">
        <v>7.3</v>
      </c>
      <c r="I66" s="670">
        <v>7.4</v>
      </c>
      <c r="J66" s="671">
        <v>7.4</v>
      </c>
      <c r="K66" s="671">
        <v>7.6</v>
      </c>
      <c r="L66" s="671">
        <v>1.9</v>
      </c>
      <c r="M66" s="671">
        <v>7.3</v>
      </c>
      <c r="N66" s="671">
        <v>7.5</v>
      </c>
      <c r="O66" s="672">
        <v>7.3</v>
      </c>
      <c r="P66" s="670">
        <v>7.5</v>
      </c>
      <c r="Q66" s="671">
        <v>7.5</v>
      </c>
      <c r="R66" s="671">
        <v>7.3</v>
      </c>
      <c r="S66" s="671">
        <v>1.7</v>
      </c>
      <c r="T66" s="671">
        <v>7.3</v>
      </c>
      <c r="U66" s="671">
        <v>7.4</v>
      </c>
      <c r="V66" s="672">
        <v>6.3</v>
      </c>
      <c r="W66" s="703">
        <f t="shared" si="19"/>
        <v>136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20">SUM(D60:D66)</f>
        <v>47</v>
      </c>
      <c r="E67" s="201">
        <f t="shared" si="20"/>
        <v>11.2</v>
      </c>
      <c r="F67" s="201">
        <f t="shared" si="20"/>
        <v>48.2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50.6</v>
      </c>
      <c r="L67" s="201">
        <f t="shared" si="20"/>
        <v>12.4</v>
      </c>
      <c r="M67" s="201">
        <f t="shared" si="20"/>
        <v>49.3</v>
      </c>
      <c r="N67" s="201">
        <f t="shared" si="20"/>
        <v>50.1</v>
      </c>
      <c r="O67" s="229">
        <f t="shared" si="20"/>
        <v>49</v>
      </c>
      <c r="P67" s="200">
        <f t="shared" si="20"/>
        <v>50.2</v>
      </c>
      <c r="Q67" s="201">
        <f t="shared" si="20"/>
        <v>50.2</v>
      </c>
      <c r="R67" s="201">
        <f t="shared" si="20"/>
        <v>49.3</v>
      </c>
      <c r="S67" s="201">
        <f t="shared" si="20"/>
        <v>11.2</v>
      </c>
      <c r="T67" s="201">
        <f t="shared" si="20"/>
        <v>49.3</v>
      </c>
      <c r="U67" s="201">
        <f t="shared" si="20"/>
        <v>49.9</v>
      </c>
      <c r="V67" s="229">
        <f t="shared" si="20"/>
        <v>47.8</v>
      </c>
      <c r="W67" s="326">
        <f>SUM(W60:W66)</f>
        <v>917.29999999999984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160.39517398146526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817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6.9421000000000008</v>
      </c>
      <c r="C70" s="30">
        <f t="shared" si="21"/>
        <v>6.6126999999999994</v>
      </c>
      <c r="D70" s="30">
        <f t="shared" si="21"/>
        <v>6.7679999999999989</v>
      </c>
      <c r="E70" s="30">
        <f t="shared" si="21"/>
        <v>1.6199999999999999</v>
      </c>
      <c r="F70" s="30">
        <f t="shared" si="21"/>
        <v>6.9120000000000008</v>
      </c>
      <c r="G70" s="30">
        <f t="shared" si="21"/>
        <v>7.0344000000000007</v>
      </c>
      <c r="H70" s="30">
        <f t="shared" si="21"/>
        <v>7.0344000000000007</v>
      </c>
      <c r="I70" s="30">
        <f t="shared" si="21"/>
        <v>7.1176000000000004</v>
      </c>
      <c r="J70" s="30">
        <f t="shared" si="21"/>
        <v>7.1176000000000004</v>
      </c>
      <c r="K70" s="30">
        <f t="shared" si="21"/>
        <v>7.2714999999999987</v>
      </c>
      <c r="L70" s="30">
        <f t="shared" si="21"/>
        <v>1.7917000000000001</v>
      </c>
      <c r="M70" s="30">
        <f t="shared" si="21"/>
        <v>7.056</v>
      </c>
      <c r="N70" s="30">
        <f t="shared" si="21"/>
        <v>7.1769999999999996</v>
      </c>
      <c r="O70" s="30">
        <f t="shared" si="21"/>
        <v>7.0344000000000007</v>
      </c>
      <c r="P70" s="30">
        <f t="shared" si="21"/>
        <v>7.2007999999999992</v>
      </c>
      <c r="Q70" s="30">
        <f t="shared" si="21"/>
        <v>7.2007999999999992</v>
      </c>
      <c r="R70" s="30">
        <f t="shared" si="21"/>
        <v>7.056</v>
      </c>
      <c r="S70" s="30">
        <f t="shared" si="21"/>
        <v>1.6199999999999999</v>
      </c>
      <c r="T70" s="30">
        <f t="shared" si="21"/>
        <v>7.056</v>
      </c>
      <c r="U70" s="30">
        <f t="shared" si="21"/>
        <v>7.1654999999999998</v>
      </c>
      <c r="V70" s="30">
        <f t="shared" si="21"/>
        <v>6.5598000000000001</v>
      </c>
      <c r="W70" s="329">
        <f>((W67*1000)/7)/W69</f>
        <v>160.39517398146526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46.063499999999998</v>
      </c>
      <c r="D71" s="282">
        <f t="shared" ref="D71:V71" si="22">((D69*D68)*7)/1000</f>
        <v>47.04</v>
      </c>
      <c r="E71" s="282">
        <f t="shared" si="22"/>
        <v>11.2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12.358499999999999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48.972000000000001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160.62717770034845</v>
      </c>
      <c r="D72" s="38">
        <f t="shared" si="23"/>
        <v>159.8639455782313</v>
      </c>
      <c r="E72" s="38">
        <f>+(E67/E69)/7*1000</f>
        <v>159.99999999999997</v>
      </c>
      <c r="F72" s="38">
        <f t="shared" si="23"/>
        <v>160.1328903654485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160.63492063492066</v>
      </c>
      <c r="L72" s="38">
        <f t="shared" si="23"/>
        <v>161.03896103896105</v>
      </c>
      <c r="M72" s="38">
        <f t="shared" si="23"/>
        <v>160.06493506493504</v>
      </c>
      <c r="N72" s="38">
        <f t="shared" si="23"/>
        <v>159.04761904761904</v>
      </c>
      <c r="O72" s="158">
        <f t="shared" si="23"/>
        <v>159.09090909090909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160.06493506493504</v>
      </c>
      <c r="S72" s="38">
        <f t="shared" si="23"/>
        <v>159.99999999999997</v>
      </c>
      <c r="T72" s="38">
        <f t="shared" si="23"/>
        <v>160.06493506493504</v>
      </c>
      <c r="U72" s="38">
        <f t="shared" si="23"/>
        <v>158.4126984126984</v>
      </c>
      <c r="V72" s="158">
        <f t="shared" si="23"/>
        <v>162.58503401360545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-3.6500000000003752E-2</v>
      </c>
      <c r="D73" s="645">
        <f t="shared" si="24"/>
        <v>3.9999999999999147E-2</v>
      </c>
      <c r="E73" s="645">
        <f t="shared" si="24"/>
        <v>0</v>
      </c>
      <c r="F73" s="645">
        <f t="shared" si="24"/>
        <v>-4.0000000000006253E-2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-4.2500000000003979E-2</v>
      </c>
      <c r="L73" s="645">
        <f t="shared" si="24"/>
        <v>-4.1500000000000981E-2</v>
      </c>
      <c r="M73" s="645">
        <f t="shared" si="24"/>
        <v>-1.9999999999996021E-2</v>
      </c>
      <c r="N73" s="645">
        <f t="shared" si="24"/>
        <v>-1.5000000000000568E-2</v>
      </c>
      <c r="O73" s="645">
        <f t="shared" si="24"/>
        <v>-2.7999999999998693E-2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-1.9999999999996021E-2</v>
      </c>
      <c r="S73" s="645">
        <f t="shared" si="24"/>
        <v>0</v>
      </c>
      <c r="T73" s="645">
        <f t="shared" si="24"/>
        <v>-1.9999999999996021E-2</v>
      </c>
      <c r="U73" s="645">
        <f t="shared" si="24"/>
        <v>2.7500000000003411E-2</v>
      </c>
      <c r="V73" s="645">
        <f t="shared" si="24"/>
        <v>-1.2010000000000005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0.12717770034845444</v>
      </c>
      <c r="D74" s="42">
        <f t="shared" si="24"/>
        <v>-0.13605442176870497</v>
      </c>
      <c r="E74" s="42">
        <f t="shared" si="24"/>
        <v>0</v>
      </c>
      <c r="F74" s="42">
        <f t="shared" si="24"/>
        <v>0.13289036544850319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0.13492063492066109</v>
      </c>
      <c r="L74" s="42">
        <f t="shared" si="24"/>
        <v>0.53896103896104819</v>
      </c>
      <c r="M74" s="42">
        <f t="shared" si="24"/>
        <v>6.4935064935042419E-2</v>
      </c>
      <c r="N74" s="42">
        <f t="shared" si="24"/>
        <v>4.7619047619036792E-2</v>
      </c>
      <c r="O74" s="42">
        <f t="shared" si="24"/>
        <v>9.0909090909093493E-2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6.4935064935042419E-2</v>
      </c>
      <c r="S74" s="42">
        <f t="shared" si="24"/>
        <v>0</v>
      </c>
      <c r="T74" s="42">
        <f t="shared" si="24"/>
        <v>6.4935064935042419E-2</v>
      </c>
      <c r="U74" s="42">
        <f t="shared" si="24"/>
        <v>-8.7301587301595873E-2</v>
      </c>
      <c r="V74" s="42">
        <f t="shared" si="24"/>
        <v>4.0850340136054513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8"/>
  <dimension ref="A1:Z237"/>
  <sheetViews>
    <sheetView topLeftCell="A27" zoomScale="30" zoomScaleNormal="30" workbookViewId="0">
      <selection activeCell="B34" sqref="B34:V3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/>
      <c r="Q11" s="1022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85.1</v>
      </c>
      <c r="C18" s="486">
        <v>83.7</v>
      </c>
      <c r="D18" s="497">
        <v>84</v>
      </c>
      <c r="E18" s="486">
        <v>15.5</v>
      </c>
      <c r="F18" s="497">
        <v>85.1</v>
      </c>
      <c r="G18" s="497">
        <v>83.6</v>
      </c>
      <c r="H18" s="498">
        <v>85.5</v>
      </c>
      <c r="I18" s="126">
        <v>88.5</v>
      </c>
      <c r="J18" s="497">
        <v>89.4</v>
      </c>
      <c r="K18" s="497">
        <v>91.4</v>
      </c>
      <c r="L18" s="600">
        <v>18.100000000000001</v>
      </c>
      <c r="M18" s="497">
        <v>89.4</v>
      </c>
      <c r="N18" s="497">
        <v>90.2</v>
      </c>
      <c r="O18" s="497">
        <v>90.8</v>
      </c>
      <c r="P18" s="133">
        <v>90.8</v>
      </c>
      <c r="Q18" s="497">
        <v>90.3</v>
      </c>
      <c r="R18" s="600">
        <v>89.6</v>
      </c>
      <c r="S18" s="497">
        <v>20.8</v>
      </c>
      <c r="T18" s="497">
        <v>90.2</v>
      </c>
      <c r="U18" s="497">
        <v>89.6</v>
      </c>
      <c r="V18" s="499">
        <v>90.6</v>
      </c>
      <c r="W18" s="596">
        <f t="shared" ref="W18:W23" si="0">SUM(B18:V18)</f>
        <v>1642.1999999999996</v>
      </c>
      <c r="Y18" s="697">
        <v>2</v>
      </c>
    </row>
    <row r="19" spans="1:25" ht="39.950000000000003" customHeight="1" x14ac:dyDescent="0.25">
      <c r="A19" s="146" t="s">
        <v>24</v>
      </c>
      <c r="B19" s="133">
        <v>85</v>
      </c>
      <c r="C19" s="497">
        <v>83.6</v>
      </c>
      <c r="D19" s="497">
        <v>84</v>
      </c>
      <c r="E19" s="497">
        <v>15.4</v>
      </c>
      <c r="F19" s="497">
        <v>85.1</v>
      </c>
      <c r="G19" s="497">
        <v>83.6</v>
      </c>
      <c r="H19" s="498">
        <v>85.5</v>
      </c>
      <c r="I19" s="456">
        <v>88.5</v>
      </c>
      <c r="J19" s="497">
        <v>89.4</v>
      </c>
      <c r="K19" s="497">
        <v>91.4</v>
      </c>
      <c r="L19" s="497">
        <v>17.8</v>
      </c>
      <c r="M19" s="497">
        <v>89.4</v>
      </c>
      <c r="N19" s="497">
        <v>90.2</v>
      </c>
      <c r="O19" s="600">
        <v>90.8</v>
      </c>
      <c r="P19" s="133">
        <v>90.8</v>
      </c>
      <c r="Q19" s="497">
        <v>90.3</v>
      </c>
      <c r="R19" s="486">
        <v>89.3</v>
      </c>
      <c r="S19" s="753">
        <v>20.8</v>
      </c>
      <c r="T19" s="497">
        <v>90.2</v>
      </c>
      <c r="U19" s="497">
        <v>89.6</v>
      </c>
      <c r="V19" s="754">
        <v>90.5</v>
      </c>
      <c r="W19" s="538">
        <f t="shared" si="0"/>
        <v>1641.1999999999998</v>
      </c>
      <c r="Y19" s="698">
        <v>3</v>
      </c>
    </row>
    <row r="20" spans="1:25" ht="39.75" customHeight="1" x14ac:dyDescent="0.25">
      <c r="A20" s="146" t="s">
        <v>20</v>
      </c>
      <c r="B20" s="133">
        <v>85</v>
      </c>
      <c r="C20" s="497">
        <v>83.6</v>
      </c>
      <c r="D20" s="497">
        <v>84</v>
      </c>
      <c r="E20" s="600">
        <v>15.4</v>
      </c>
      <c r="F20" s="497">
        <v>85.1</v>
      </c>
      <c r="G20" s="497">
        <v>83.6</v>
      </c>
      <c r="H20" s="498">
        <v>85.5</v>
      </c>
      <c r="I20" s="456">
        <v>88.4</v>
      </c>
      <c r="J20" s="497">
        <v>89.4</v>
      </c>
      <c r="K20" s="486">
        <v>91.4</v>
      </c>
      <c r="L20" s="497">
        <v>17.8</v>
      </c>
      <c r="M20" s="497">
        <v>89.4</v>
      </c>
      <c r="N20" s="497">
        <v>90.2</v>
      </c>
      <c r="O20" s="486">
        <v>90.5</v>
      </c>
      <c r="P20" s="133">
        <v>90.8</v>
      </c>
      <c r="Q20" s="497">
        <v>90.3</v>
      </c>
      <c r="R20" s="752">
        <v>89.2</v>
      </c>
      <c r="S20" s="497">
        <v>20.3</v>
      </c>
      <c r="T20" s="497">
        <v>90.2</v>
      </c>
      <c r="U20" s="497">
        <v>89.6</v>
      </c>
      <c r="V20" s="498">
        <v>90.5</v>
      </c>
      <c r="W20" s="538">
        <f t="shared" si="0"/>
        <v>1640.1999999999998</v>
      </c>
      <c r="Y20" s="699">
        <v>4</v>
      </c>
    </row>
    <row r="21" spans="1:25" ht="39.950000000000003" customHeight="1" x14ac:dyDescent="0.25">
      <c r="A21" s="146" t="s">
        <v>28</v>
      </c>
      <c r="B21" s="485">
        <v>85</v>
      </c>
      <c r="C21" s="497">
        <v>83.6</v>
      </c>
      <c r="D21" s="497">
        <v>84</v>
      </c>
      <c r="E21" s="486">
        <v>15.1</v>
      </c>
      <c r="F21" s="497">
        <v>85.1</v>
      </c>
      <c r="G21" s="497">
        <v>83.6</v>
      </c>
      <c r="H21" s="498">
        <v>85.5</v>
      </c>
      <c r="I21" s="126">
        <v>88.3</v>
      </c>
      <c r="J21" s="497">
        <v>89.4</v>
      </c>
      <c r="K21" s="497">
        <v>91.3</v>
      </c>
      <c r="L21" s="600">
        <v>17.8</v>
      </c>
      <c r="M21" s="497">
        <v>89.4</v>
      </c>
      <c r="N21" s="497">
        <v>90.2</v>
      </c>
      <c r="O21" s="497">
        <v>90.4</v>
      </c>
      <c r="P21" s="133">
        <v>90.8</v>
      </c>
      <c r="Q21" s="497">
        <v>90.3</v>
      </c>
      <c r="R21" s="497">
        <v>89.2</v>
      </c>
      <c r="S21" s="497">
        <v>20.3</v>
      </c>
      <c r="T21" s="486">
        <v>90.2</v>
      </c>
      <c r="U21" s="497">
        <v>89.6</v>
      </c>
      <c r="V21" s="498">
        <v>90.5</v>
      </c>
      <c r="W21" s="538">
        <f t="shared" si="0"/>
        <v>1639.5999999999997</v>
      </c>
      <c r="Y21" s="700">
        <v>5</v>
      </c>
    </row>
    <row r="22" spans="1:25" ht="39.950000000000003" customHeight="1" x14ac:dyDescent="0.25">
      <c r="A22" s="146" t="s">
        <v>21</v>
      </c>
      <c r="B22" s="133">
        <v>84.8</v>
      </c>
      <c r="C22" s="497">
        <v>83.5</v>
      </c>
      <c r="D22" s="497">
        <v>84</v>
      </c>
      <c r="E22" s="497">
        <v>14.9</v>
      </c>
      <c r="F22" s="497">
        <v>85.1</v>
      </c>
      <c r="G22" s="497">
        <v>83.5</v>
      </c>
      <c r="H22" s="499">
        <v>85.6</v>
      </c>
      <c r="I22" s="126">
        <v>87.8</v>
      </c>
      <c r="J22" s="497">
        <v>89.4</v>
      </c>
      <c r="K22" s="497">
        <v>91</v>
      </c>
      <c r="L22" s="486">
        <v>17.5</v>
      </c>
      <c r="M22" s="497">
        <v>89.4</v>
      </c>
      <c r="N22" s="497">
        <v>90.2</v>
      </c>
      <c r="O22" s="497">
        <v>90</v>
      </c>
      <c r="P22" s="133">
        <v>90.4</v>
      </c>
      <c r="Q22" s="497">
        <v>90.3</v>
      </c>
      <c r="R22" s="497">
        <v>88.7</v>
      </c>
      <c r="S22" s="497">
        <v>20</v>
      </c>
      <c r="T22" s="486">
        <v>90.1</v>
      </c>
      <c r="U22" s="497">
        <v>89.6</v>
      </c>
      <c r="V22" s="498">
        <v>90.5</v>
      </c>
      <c r="W22" s="538">
        <f t="shared" si="0"/>
        <v>1636.2999999999997</v>
      </c>
      <c r="Y22" s="701">
        <v>6</v>
      </c>
    </row>
    <row r="23" spans="1:25" ht="39.950000000000003" customHeight="1" x14ac:dyDescent="0.25">
      <c r="A23" s="146" t="s">
        <v>22</v>
      </c>
      <c r="B23" s="485">
        <v>84.8</v>
      </c>
      <c r="C23" s="497">
        <v>83.5</v>
      </c>
      <c r="D23" s="486">
        <v>84</v>
      </c>
      <c r="E23" s="497">
        <v>14.9</v>
      </c>
      <c r="F23" s="497">
        <v>85.1</v>
      </c>
      <c r="G23" s="486">
        <v>83.5</v>
      </c>
      <c r="H23" s="499">
        <v>85.5</v>
      </c>
      <c r="I23" s="126">
        <v>87.8</v>
      </c>
      <c r="J23" s="497">
        <v>89.4</v>
      </c>
      <c r="K23" s="497">
        <v>91</v>
      </c>
      <c r="L23" s="497">
        <v>17.399999999999999</v>
      </c>
      <c r="M23" s="497">
        <v>89.4</v>
      </c>
      <c r="N23" s="497">
        <v>90.2</v>
      </c>
      <c r="O23" s="497">
        <v>90</v>
      </c>
      <c r="P23" s="133">
        <v>90.4</v>
      </c>
      <c r="Q23" s="497">
        <v>90.3</v>
      </c>
      <c r="R23" s="497">
        <v>88.7</v>
      </c>
      <c r="S23" s="486">
        <v>20</v>
      </c>
      <c r="T23" s="497">
        <v>90</v>
      </c>
      <c r="U23" s="497">
        <v>89.6</v>
      </c>
      <c r="V23" s="498">
        <v>90.5</v>
      </c>
      <c r="W23" s="538">
        <f t="shared" si="0"/>
        <v>1636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84.7</v>
      </c>
      <c r="C24" s="486">
        <v>83.5</v>
      </c>
      <c r="D24" s="497">
        <v>83.9</v>
      </c>
      <c r="E24" s="497">
        <v>14.9</v>
      </c>
      <c r="F24" s="486">
        <v>85.1</v>
      </c>
      <c r="G24" s="497">
        <v>83.4</v>
      </c>
      <c r="H24" s="601">
        <v>85.4</v>
      </c>
      <c r="I24" s="126">
        <v>87.8</v>
      </c>
      <c r="J24" s="486">
        <v>89.4</v>
      </c>
      <c r="K24" s="497">
        <v>91</v>
      </c>
      <c r="L24" s="497">
        <v>17.399999999999999</v>
      </c>
      <c r="M24" s="497">
        <v>89.4</v>
      </c>
      <c r="N24" s="497">
        <v>90.2</v>
      </c>
      <c r="O24" s="497">
        <v>90</v>
      </c>
      <c r="P24" s="485">
        <v>90.4</v>
      </c>
      <c r="Q24" s="497">
        <v>90.3</v>
      </c>
      <c r="R24" s="497">
        <v>88.7</v>
      </c>
      <c r="S24" s="486">
        <v>19.899999999999999</v>
      </c>
      <c r="T24" s="497">
        <v>90</v>
      </c>
      <c r="U24" s="497">
        <v>89.6</v>
      </c>
      <c r="V24" s="498">
        <v>90.5</v>
      </c>
      <c r="W24" s="538">
        <f>SUM(B24:V24)</f>
        <v>1635.5</v>
      </c>
    </row>
    <row r="25" spans="1:25" ht="41.45" customHeight="1" x14ac:dyDescent="0.25">
      <c r="A25" s="182" t="s">
        <v>9</v>
      </c>
      <c r="B25" s="122">
        <f>SUM(B18:B24)</f>
        <v>594.40000000000009</v>
      </c>
      <c r="C25" s="120">
        <f>SUM(C18:C24)</f>
        <v>585</v>
      </c>
      <c r="D25" s="120">
        <f t="shared" ref="D25:V25" si="1">SUM(D18:D24)</f>
        <v>587.9</v>
      </c>
      <c r="E25" s="120">
        <f>SUM(E18:E24)</f>
        <v>106.10000000000001</v>
      </c>
      <c r="F25" s="120">
        <f t="shared" si="1"/>
        <v>595.70000000000005</v>
      </c>
      <c r="G25" s="120">
        <f t="shared" si="1"/>
        <v>584.79999999999995</v>
      </c>
      <c r="H25" s="121">
        <f t="shared" si="1"/>
        <v>598.5</v>
      </c>
      <c r="I25" s="122">
        <f t="shared" si="1"/>
        <v>617.09999999999991</v>
      </c>
      <c r="J25" s="120">
        <f t="shared" si="1"/>
        <v>625.79999999999995</v>
      </c>
      <c r="K25" s="120">
        <f t="shared" si="1"/>
        <v>638.5</v>
      </c>
      <c r="L25" s="120">
        <f t="shared" si="1"/>
        <v>123.80000000000001</v>
      </c>
      <c r="M25" s="120">
        <f t="shared" si="1"/>
        <v>625.79999999999995</v>
      </c>
      <c r="N25" s="120">
        <f t="shared" si="1"/>
        <v>631.40000000000009</v>
      </c>
      <c r="O25" s="121">
        <f t="shared" si="1"/>
        <v>632.5</v>
      </c>
      <c r="P25" s="122">
        <f t="shared" si="1"/>
        <v>634.4</v>
      </c>
      <c r="Q25" s="120">
        <f t="shared" si="1"/>
        <v>632.09999999999991</v>
      </c>
      <c r="R25" s="120">
        <f t="shared" si="1"/>
        <v>623.4</v>
      </c>
      <c r="S25" s="120">
        <f>SUM(S18:S24)</f>
        <v>142.1</v>
      </c>
      <c r="T25" s="120">
        <f t="shared" si="1"/>
        <v>630.9</v>
      </c>
      <c r="U25" s="120">
        <f t="shared" si="1"/>
        <v>627.20000000000005</v>
      </c>
      <c r="V25" s="121">
        <f t="shared" si="1"/>
        <v>633.6</v>
      </c>
      <c r="W25" s="361">
        <f>SUM(W18:W24)</f>
        <v>11470.999999999998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154.11589257164351</v>
      </c>
      <c r="Y26" s="41"/>
    </row>
    <row r="27" spans="1:25" s="2" customFormat="1" ht="33" customHeight="1" x14ac:dyDescent="0.25">
      <c r="A27" s="149" t="s">
        <v>12</v>
      </c>
      <c r="B27" s="26">
        <v>550</v>
      </c>
      <c r="C27" s="27">
        <v>543</v>
      </c>
      <c r="D27" s="27">
        <v>545</v>
      </c>
      <c r="E27" s="27">
        <v>98</v>
      </c>
      <c r="F27" s="27">
        <v>552</v>
      </c>
      <c r="G27" s="27">
        <v>542</v>
      </c>
      <c r="H27" s="28">
        <v>552</v>
      </c>
      <c r="I27" s="26">
        <v>573</v>
      </c>
      <c r="J27" s="27">
        <v>580</v>
      </c>
      <c r="K27" s="27">
        <v>593</v>
      </c>
      <c r="L27" s="27">
        <v>113</v>
      </c>
      <c r="M27" s="27">
        <v>581</v>
      </c>
      <c r="N27" s="27">
        <v>586</v>
      </c>
      <c r="O27" s="28">
        <v>587</v>
      </c>
      <c r="P27" s="26">
        <v>588</v>
      </c>
      <c r="Q27" s="27">
        <v>587</v>
      </c>
      <c r="R27" s="27">
        <v>579</v>
      </c>
      <c r="S27" s="27">
        <v>130</v>
      </c>
      <c r="T27" s="27">
        <v>584</v>
      </c>
      <c r="U27" s="27">
        <v>582</v>
      </c>
      <c r="V27" s="28">
        <v>588</v>
      </c>
      <c r="W27" s="29">
        <f>SUM(B27:V27)</f>
        <v>10633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84.594833333333199</v>
      </c>
      <c r="C28" s="30">
        <f t="shared" ref="C28:V28" si="2">((((C26*7)*C27)/1000-C18)/6)</f>
        <v>83.570989999999867</v>
      </c>
      <c r="D28" s="30">
        <f t="shared" si="2"/>
        <v>83.880183333333193</v>
      </c>
      <c r="E28" s="30">
        <f t="shared" si="2"/>
        <v>15.017139999999978</v>
      </c>
      <c r="F28" s="30">
        <f t="shared" si="2"/>
        <v>84.954026666666536</v>
      </c>
      <c r="G28" s="30">
        <f t="shared" si="2"/>
        <v>83.408059999999864</v>
      </c>
      <c r="H28" s="30">
        <f t="shared" si="2"/>
        <v>84.887359999999873</v>
      </c>
      <c r="I28" s="30">
        <f t="shared" si="2"/>
        <v>88.158889999999857</v>
      </c>
      <c r="J28" s="30">
        <f t="shared" si="2"/>
        <v>89.266066666666532</v>
      </c>
      <c r="K28" s="30">
        <f t="shared" si="2"/>
        <v>91.267489999999853</v>
      </c>
      <c r="L28" s="30">
        <f t="shared" si="2"/>
        <v>17.277756666666637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90.289909999999864</v>
      </c>
      <c r="P28" s="30">
        <f t="shared" si="2"/>
        <v>90.469506666666518</v>
      </c>
      <c r="Q28" s="30">
        <f t="shared" si="2"/>
        <v>90.373243333333207</v>
      </c>
      <c r="R28" s="30">
        <f t="shared" si="2"/>
        <v>89.053136666666532</v>
      </c>
      <c r="S28" s="30">
        <f t="shared" si="2"/>
        <v>19.880899999999972</v>
      </c>
      <c r="T28" s="30">
        <f t="shared" si="2"/>
        <v>89.851119999999852</v>
      </c>
      <c r="U28" s="30">
        <f t="shared" si="2"/>
        <v>89.59192666666651</v>
      </c>
      <c r="V28" s="30">
        <f t="shared" si="2"/>
        <v>90.502839999999836</v>
      </c>
      <c r="W28" s="362">
        <f>((W25*1000)/7)/W27</f>
        <v>154.11589257164351</v>
      </c>
      <c r="Y28" s="41"/>
    </row>
    <row r="29" spans="1:25" ht="33.75" customHeight="1" x14ac:dyDescent="0.25">
      <c r="A29" s="151" t="s">
        <v>14</v>
      </c>
      <c r="B29" s="281">
        <f>((B27*B26)*7)/1000</f>
        <v>592.66899999999919</v>
      </c>
      <c r="C29" s="282">
        <f>((C27*C26)*7)/1000</f>
        <v>585.12593999999922</v>
      </c>
      <c r="D29" s="282">
        <f t="shared" ref="D29:V29" si="3">((D27*D26)*7)/1000</f>
        <v>587.28109999999913</v>
      </c>
      <c r="E29" s="282">
        <f t="shared" si="3"/>
        <v>105.60283999999987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594.82415999999921</v>
      </c>
      <c r="I29" s="281">
        <f t="shared" si="3"/>
        <v>617.45333999999912</v>
      </c>
      <c r="J29" s="282">
        <f t="shared" si="3"/>
        <v>624.9963999999992</v>
      </c>
      <c r="K29" s="282">
        <f t="shared" si="3"/>
        <v>639.00493999999912</v>
      </c>
      <c r="L29" s="282">
        <f t="shared" si="3"/>
        <v>121.76653999999984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633.61703999999918</v>
      </c>
      <c r="Q29" s="282">
        <f t="shared" si="3"/>
        <v>632.53945999999917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629.30671999999913</v>
      </c>
      <c r="U29" s="282">
        <f t="shared" si="3"/>
        <v>627.15155999999922</v>
      </c>
      <c r="V29" s="284">
        <f t="shared" si="3"/>
        <v>633.61703999999918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154.38961038961043</v>
      </c>
      <c r="C30" s="38">
        <f t="shared" ref="C30:V30" si="4">+(C25/C27)/7*1000</f>
        <v>153.90686661404894</v>
      </c>
      <c r="D30" s="38">
        <f t="shared" si="4"/>
        <v>154.10222804718219</v>
      </c>
      <c r="E30" s="38">
        <f t="shared" si="4"/>
        <v>154.66472303206996</v>
      </c>
      <c r="F30" s="38">
        <f t="shared" si="4"/>
        <v>154.16666666666671</v>
      </c>
      <c r="G30" s="38">
        <f t="shared" si="4"/>
        <v>154.13811280969949</v>
      </c>
      <c r="H30" s="39">
        <f t="shared" si="4"/>
        <v>154.89130434782612</v>
      </c>
      <c r="I30" s="37">
        <f t="shared" si="4"/>
        <v>153.85190725504862</v>
      </c>
      <c r="J30" s="38">
        <f t="shared" si="4"/>
        <v>154.13793103448276</v>
      </c>
      <c r="K30" s="38">
        <f t="shared" si="4"/>
        <v>153.81835702240426</v>
      </c>
      <c r="L30" s="38">
        <f t="shared" si="4"/>
        <v>156.51074589127688</v>
      </c>
      <c r="M30" s="38">
        <f t="shared" si="4"/>
        <v>153.87263339070566</v>
      </c>
      <c r="N30" s="38">
        <f t="shared" si="4"/>
        <v>153.92491467576795</v>
      </c>
      <c r="O30" s="39">
        <f t="shared" si="4"/>
        <v>153.93039669019223</v>
      </c>
      <c r="P30" s="37">
        <f t="shared" si="4"/>
        <v>154.13022351797861</v>
      </c>
      <c r="Q30" s="38">
        <f t="shared" si="4"/>
        <v>153.83304940374785</v>
      </c>
      <c r="R30" s="38">
        <f t="shared" si="4"/>
        <v>153.81199111769058</v>
      </c>
      <c r="S30" s="38">
        <f t="shared" si="4"/>
        <v>156.15384615384613</v>
      </c>
      <c r="T30" s="38">
        <f t="shared" si="4"/>
        <v>154.32974559686889</v>
      </c>
      <c r="U30" s="38">
        <f t="shared" si="4"/>
        <v>153.95189003436431</v>
      </c>
      <c r="V30" s="39">
        <f t="shared" si="4"/>
        <v>153.93586005830903</v>
      </c>
      <c r="W30" s="40"/>
    </row>
    <row r="31" spans="1:25" ht="33.75" customHeight="1" x14ac:dyDescent="0.25">
      <c r="A31" s="41"/>
      <c r="B31" s="645">
        <f t="shared" ref="B31:V32" si="5">B29-B25</f>
        <v>-1.731000000000904</v>
      </c>
      <c r="C31" s="645">
        <f t="shared" si="5"/>
        <v>0.12593999999921834</v>
      </c>
      <c r="D31" s="645">
        <f t="shared" si="5"/>
        <v>-0.6189000000008491</v>
      </c>
      <c r="E31" s="645">
        <f t="shared" si="5"/>
        <v>-0.49716000000013594</v>
      </c>
      <c r="F31" s="645">
        <f t="shared" si="5"/>
        <v>-0.87584000000083506</v>
      </c>
      <c r="G31" s="645">
        <f t="shared" si="5"/>
        <v>-0.75164000000063425</v>
      </c>
      <c r="H31" s="645">
        <f t="shared" si="5"/>
        <v>-3.6758400000007896</v>
      </c>
      <c r="I31" s="645">
        <f t="shared" si="5"/>
        <v>0.35333999999920707</v>
      </c>
      <c r="J31" s="645">
        <f t="shared" si="5"/>
        <v>-0.80360000000075615</v>
      </c>
      <c r="K31" s="645">
        <f t="shared" si="5"/>
        <v>0.50493999999912376</v>
      </c>
      <c r="L31" s="645">
        <f t="shared" si="5"/>
        <v>-2.0334600000001757</v>
      </c>
      <c r="M31" s="645">
        <f t="shared" si="5"/>
        <v>0.2739799999992556</v>
      </c>
      <c r="N31" s="645">
        <f t="shared" si="5"/>
        <v>6.1879999999064239E-2</v>
      </c>
      <c r="O31" s="645">
        <f t="shared" si="5"/>
        <v>3.9459999999166939E-2</v>
      </c>
      <c r="P31" s="645">
        <f t="shared" si="5"/>
        <v>-0.78296000000079857</v>
      </c>
      <c r="Q31" s="645">
        <f t="shared" si="5"/>
        <v>0.43945999999925789</v>
      </c>
      <c r="R31" s="645">
        <f t="shared" si="5"/>
        <v>0.51881999999920936</v>
      </c>
      <c r="S31" s="645">
        <f t="shared" si="5"/>
        <v>-2.014600000000172</v>
      </c>
      <c r="T31" s="645">
        <f t="shared" si="5"/>
        <v>-1.5932800000008456</v>
      </c>
      <c r="U31" s="645">
        <f t="shared" si="5"/>
        <v>-4.8440000000823602E-2</v>
      </c>
      <c r="V31" s="645">
        <f t="shared" si="5"/>
        <v>1.7039999999155953E-2</v>
      </c>
      <c r="W31" s="42"/>
      <c r="X31" s="42"/>
    </row>
    <row r="32" spans="1:25" ht="33.75" customHeight="1" x14ac:dyDescent="0.25">
      <c r="A32" s="41"/>
      <c r="B32" s="42">
        <f>B30-B26</f>
        <v>0.44961038961062627</v>
      </c>
      <c r="C32" s="42">
        <f t="shared" si="5"/>
        <v>-3.3133385950861793E-2</v>
      </c>
      <c r="D32" s="42">
        <f t="shared" si="5"/>
        <v>0.16222804718239558</v>
      </c>
      <c r="E32" s="42">
        <f t="shared" si="5"/>
        <v>0.72472303207015898</v>
      </c>
      <c r="F32" s="42">
        <f t="shared" si="5"/>
        <v>0.22666666666691526</v>
      </c>
      <c r="G32" s="42">
        <f t="shared" si="5"/>
        <v>0.19811280969969403</v>
      </c>
      <c r="H32" s="42">
        <f t="shared" si="5"/>
        <v>0.95130434782632278</v>
      </c>
      <c r="I32" s="42">
        <f t="shared" si="5"/>
        <v>-8.8092744951183022E-2</v>
      </c>
      <c r="J32" s="42">
        <f t="shared" si="5"/>
        <v>0.19793103448296279</v>
      </c>
      <c r="K32" s="42">
        <f t="shared" si="5"/>
        <v>-0.12164297759554188</v>
      </c>
      <c r="L32" s="42">
        <f t="shared" si="5"/>
        <v>2.5707458912770846</v>
      </c>
      <c r="M32" s="42">
        <f t="shared" si="5"/>
        <v>-6.7366609294140289E-2</v>
      </c>
      <c r="N32" s="42">
        <f t="shared" si="5"/>
        <v>-1.5085324231847608E-2</v>
      </c>
      <c r="O32" s="42">
        <f t="shared" si="5"/>
        <v>-9.6033098075736234E-3</v>
      </c>
      <c r="P32" s="42">
        <f t="shared" si="5"/>
        <v>0.19022351797880788</v>
      </c>
      <c r="Q32" s="42">
        <f>Q30-Q26</f>
        <v>-0.10695059625194858</v>
      </c>
      <c r="R32" s="42">
        <f t="shared" si="5"/>
        <v>-0.12800888230921714</v>
      </c>
      <c r="S32" s="42">
        <f t="shared" si="5"/>
        <v>2.2138461538463332</v>
      </c>
      <c r="T32" s="42">
        <f t="shared" si="5"/>
        <v>0.3897455968690906</v>
      </c>
      <c r="U32" s="42">
        <f t="shared" si="5"/>
        <v>1.1890034364512303E-2</v>
      </c>
      <c r="V32" s="42">
        <f t="shared" si="5"/>
        <v>-4.1399416907665909E-3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>
        <v>84.7</v>
      </c>
      <c r="C34" s="42">
        <v>83.4</v>
      </c>
      <c r="D34" s="42">
        <v>83.9</v>
      </c>
      <c r="E34" s="42">
        <v>14.9</v>
      </c>
      <c r="F34" s="42">
        <v>85</v>
      </c>
      <c r="G34" s="42">
        <v>83.4</v>
      </c>
      <c r="H34" s="42">
        <v>85.1</v>
      </c>
      <c r="I34" s="42">
        <v>87.8</v>
      </c>
      <c r="J34" s="42">
        <v>89.3</v>
      </c>
      <c r="K34" s="42">
        <v>91</v>
      </c>
      <c r="L34" s="42">
        <v>17.399999999999999</v>
      </c>
      <c r="M34" s="42">
        <v>89.4</v>
      </c>
      <c r="N34" s="42">
        <v>90.2</v>
      </c>
      <c r="O34" s="42">
        <v>90</v>
      </c>
      <c r="P34" s="42">
        <v>90.3</v>
      </c>
      <c r="Q34" s="42">
        <v>90.3</v>
      </c>
      <c r="R34" s="42">
        <v>88.7</v>
      </c>
      <c r="S34" s="42">
        <v>19.8</v>
      </c>
      <c r="T34" s="42">
        <v>90</v>
      </c>
      <c r="U34" s="42">
        <v>89.6</v>
      </c>
      <c r="V34" s="42">
        <v>90.5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2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</v>
      </c>
      <c r="D39" s="720">
        <v>7.1</v>
      </c>
      <c r="E39" s="282">
        <v>83.4</v>
      </c>
      <c r="F39" s="282">
        <v>83.5</v>
      </c>
      <c r="G39" s="284">
        <v>84.9</v>
      </c>
      <c r="H39" s="641">
        <f t="shared" ref="H39:H46" si="6">SUM(B39:G39)</f>
        <v>411.79999999999995</v>
      </c>
      <c r="I39" s="49"/>
      <c r="J39" s="42"/>
      <c r="K39" s="42"/>
      <c r="L39" s="42"/>
      <c r="M39" s="2"/>
      <c r="N39" s="146" t="s">
        <v>51</v>
      </c>
      <c r="O39" s="281">
        <v>5.8</v>
      </c>
      <c r="P39" s="282">
        <v>5.9</v>
      </c>
      <c r="Q39" s="282">
        <v>0.7</v>
      </c>
      <c r="R39" s="282">
        <v>6.5</v>
      </c>
      <c r="S39" s="282">
        <v>6.5</v>
      </c>
      <c r="T39" s="284">
        <v>6.2</v>
      </c>
      <c r="U39" s="641">
        <f t="shared" ref="U39:U46" si="7">SUM(O39:T39)</f>
        <v>31.599999999999998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282">
        <v>75</v>
      </c>
      <c r="D40" s="755">
        <v>7</v>
      </c>
      <c r="E40" s="753">
        <v>83.4</v>
      </c>
      <c r="F40" s="282">
        <v>83.5</v>
      </c>
      <c r="G40" s="284">
        <v>84.9</v>
      </c>
      <c r="H40" s="538">
        <f t="shared" si="6"/>
        <v>411.70000000000005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5.9</v>
      </c>
      <c r="Q40" s="282">
        <v>0.7</v>
      </c>
      <c r="R40" s="282">
        <v>6.4</v>
      </c>
      <c r="S40" s="282">
        <v>6.4</v>
      </c>
      <c r="T40" s="284">
        <v>6.2</v>
      </c>
      <c r="U40" s="538">
        <f t="shared" si="7"/>
        <v>31.3</v>
      </c>
      <c r="V40" s="49"/>
      <c r="W40" s="48"/>
    </row>
    <row r="41" spans="1:26" ht="33.75" customHeight="1" x14ac:dyDescent="0.25">
      <c r="A41" s="146" t="s">
        <v>20</v>
      </c>
      <c r="B41" s="485">
        <v>77.900000000000006</v>
      </c>
      <c r="C41" s="486">
        <v>75</v>
      </c>
      <c r="D41" s="720">
        <v>6.4</v>
      </c>
      <c r="E41" s="497">
        <v>82.9</v>
      </c>
      <c r="F41" s="282">
        <v>83.5</v>
      </c>
      <c r="G41" s="284">
        <v>84.9</v>
      </c>
      <c r="H41" s="538">
        <f t="shared" si="6"/>
        <v>410.6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6.2</v>
      </c>
      <c r="U41" s="538">
        <f t="shared" si="7"/>
        <v>31.2</v>
      </c>
      <c r="V41" s="49"/>
      <c r="W41" s="48"/>
    </row>
    <row r="42" spans="1:26" ht="33.75" customHeight="1" x14ac:dyDescent="0.25">
      <c r="A42" s="146" t="s">
        <v>28</v>
      </c>
      <c r="B42" s="133">
        <v>77.8</v>
      </c>
      <c r="C42" s="497">
        <v>74.900000000000006</v>
      </c>
      <c r="D42" s="720">
        <v>6.3</v>
      </c>
      <c r="E42" s="497">
        <v>82.9</v>
      </c>
      <c r="F42" s="497">
        <v>83.5</v>
      </c>
      <c r="G42" s="498">
        <v>84.9</v>
      </c>
      <c r="H42" s="538">
        <f t="shared" si="6"/>
        <v>410.29999999999995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7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77.599999999999994</v>
      </c>
      <c r="C43" s="486">
        <v>74.2</v>
      </c>
      <c r="D43" s="722">
        <v>5.5</v>
      </c>
      <c r="E43" s="497">
        <v>82.7</v>
      </c>
      <c r="F43" s="497">
        <v>83.5</v>
      </c>
      <c r="G43" s="498">
        <v>84.9</v>
      </c>
      <c r="H43" s="538">
        <f t="shared" si="6"/>
        <v>408.4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7"/>
        <v>31.1</v>
      </c>
      <c r="V43" s="49"/>
      <c r="W43" s="48"/>
    </row>
    <row r="44" spans="1:26" ht="33.75" customHeight="1" x14ac:dyDescent="0.25">
      <c r="A44" s="146" t="s">
        <v>22</v>
      </c>
      <c r="B44" s="133">
        <v>77.599999999999994</v>
      </c>
      <c r="C44" s="497">
        <v>74.099999999999994</v>
      </c>
      <c r="D44" s="720">
        <v>5.5</v>
      </c>
      <c r="E44" s="486">
        <v>82.7</v>
      </c>
      <c r="F44" s="486">
        <v>83.5</v>
      </c>
      <c r="G44" s="499">
        <v>84.9</v>
      </c>
      <c r="H44" s="538">
        <f t="shared" si="6"/>
        <v>408.29999999999995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0.6</v>
      </c>
      <c r="R44" s="282">
        <v>6.4</v>
      </c>
      <c r="S44" s="282">
        <v>6.4</v>
      </c>
      <c r="T44" s="284">
        <v>6.1</v>
      </c>
      <c r="U44" s="538">
        <f t="shared" si="7"/>
        <v>31</v>
      </c>
      <c r="V44" s="49"/>
      <c r="W44" s="48"/>
    </row>
    <row r="45" spans="1:26" ht="33.75" customHeight="1" thickBot="1" x14ac:dyDescent="0.3">
      <c r="A45" s="146" t="s">
        <v>23</v>
      </c>
      <c r="B45" s="133">
        <v>77.599999999999994</v>
      </c>
      <c r="C45" s="497">
        <v>74.099999999999994</v>
      </c>
      <c r="D45" s="720">
        <v>5.4</v>
      </c>
      <c r="E45" s="497">
        <v>82.6</v>
      </c>
      <c r="F45" s="497">
        <v>83.4</v>
      </c>
      <c r="G45" s="498">
        <v>84.8</v>
      </c>
      <c r="H45" s="723">
        <f t="shared" si="6"/>
        <v>407.90000000000003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0.6</v>
      </c>
      <c r="R45" s="282">
        <v>6.4</v>
      </c>
      <c r="S45" s="282">
        <v>6.4</v>
      </c>
      <c r="T45" s="284">
        <v>6.1</v>
      </c>
      <c r="U45" s="538">
        <f t="shared" si="7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8">SUM(B39:B45)</f>
        <v>544.30000000000007</v>
      </c>
      <c r="C46" s="706">
        <f t="shared" si="8"/>
        <v>522.29999999999995</v>
      </c>
      <c r="D46" s="706">
        <f>SUM(D39:D45)</f>
        <v>43.199999999999996</v>
      </c>
      <c r="E46" s="706">
        <f t="shared" si="8"/>
        <v>580.6</v>
      </c>
      <c r="F46" s="706">
        <f t="shared" si="8"/>
        <v>584.4</v>
      </c>
      <c r="G46" s="707">
        <f t="shared" si="8"/>
        <v>594.19999999999993</v>
      </c>
      <c r="H46" s="560">
        <f t="shared" si="6"/>
        <v>2869</v>
      </c>
      <c r="I46" s="559"/>
      <c r="J46" s="42"/>
      <c r="K46" s="42"/>
      <c r="L46" s="42"/>
      <c r="N46" s="145" t="s">
        <v>9</v>
      </c>
      <c r="O46" s="225">
        <f t="shared" ref="O46:T46" si="9">SUM(O39:O45)</f>
        <v>40</v>
      </c>
      <c r="P46" s="201">
        <f t="shared" si="9"/>
        <v>40.799999999999997</v>
      </c>
      <c r="Q46" s="201">
        <f t="shared" si="9"/>
        <v>4.6999999999999993</v>
      </c>
      <c r="R46" s="201">
        <f t="shared" si="9"/>
        <v>44.9</v>
      </c>
      <c r="S46" s="201">
        <f t="shared" si="9"/>
        <v>44.9</v>
      </c>
      <c r="T46" s="201">
        <f t="shared" si="9"/>
        <v>43.1</v>
      </c>
      <c r="U46" s="361">
        <f t="shared" si="7"/>
        <v>218.4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152.98885511651469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156</v>
      </c>
      <c r="V47" s="50"/>
    </row>
    <row r="48" spans="1:26" ht="33.75" customHeight="1" x14ac:dyDescent="0.25">
      <c r="A48" s="149" t="s">
        <v>12</v>
      </c>
      <c r="B48" s="26">
        <v>509</v>
      </c>
      <c r="C48" s="27">
        <v>488</v>
      </c>
      <c r="D48" s="27">
        <v>38</v>
      </c>
      <c r="E48" s="27">
        <v>542</v>
      </c>
      <c r="F48" s="27">
        <v>547</v>
      </c>
      <c r="G48" s="28">
        <v>555</v>
      </c>
      <c r="H48" s="129">
        <f>SUM(B48:G48)</f>
        <v>2679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77.76627666666667</v>
      </c>
      <c r="C49" s="31">
        <f t="shared" ref="C49:G49" si="10">((((C47*7)*C48)/1000-C39)/6)</f>
        <v>74.50551999999999</v>
      </c>
      <c r="D49" s="31">
        <f t="shared" si="10"/>
        <v>5.5916866666666669</v>
      </c>
      <c r="E49" s="31">
        <f t="shared" si="10"/>
        <v>82.733180000000004</v>
      </c>
      <c r="F49" s="31">
        <f t="shared" si="10"/>
        <v>83.607963333333331</v>
      </c>
      <c r="G49" s="32">
        <f t="shared" si="10"/>
        <v>84.80095</v>
      </c>
      <c r="H49" s="130">
        <f>((H46*1000)/H48)/7</f>
        <v>152.98885511651469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1">((((P47*7)*P48)/1000-P39-P40)/5)</f>
        <v>5.8062000000000014</v>
      </c>
      <c r="Q49" s="30">
        <f t="shared" si="11"/>
        <v>0.61039999999999994</v>
      </c>
      <c r="R49" s="30">
        <f t="shared" si="11"/>
        <v>6.4031000000000002</v>
      </c>
      <c r="S49" s="30">
        <f t="shared" si="11"/>
        <v>6.4031000000000002</v>
      </c>
      <c r="T49" s="30">
        <f t="shared" si="11"/>
        <v>6.1467999999999998</v>
      </c>
      <c r="U49" s="454">
        <f>((U46*1000)/U48)/7</f>
        <v>156</v>
      </c>
      <c r="V49" s="192"/>
    </row>
    <row r="50" spans="1:25" ht="33.75" customHeight="1" x14ac:dyDescent="0.25">
      <c r="A50" s="151" t="s">
        <v>14</v>
      </c>
      <c r="B50" s="281">
        <f>((B48*B47)*7)/1000</f>
        <v>544.49765999999988</v>
      </c>
      <c r="C50" s="282">
        <f t="shared" ref="C50:G50" si="12">((C48*C47)*7)/1000</f>
        <v>522.03311999999994</v>
      </c>
      <c r="D50" s="282">
        <f t="shared" si="12"/>
        <v>40.650119999999994</v>
      </c>
      <c r="E50" s="282">
        <f t="shared" si="12"/>
        <v>579.79908000000012</v>
      </c>
      <c r="F50" s="282">
        <f t="shared" si="12"/>
        <v>585.1477799999999</v>
      </c>
      <c r="G50" s="284">
        <f t="shared" si="12"/>
        <v>593.70569999999998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40.015500000000003</v>
      </c>
      <c r="P50" s="282">
        <f t="shared" si="13"/>
        <v>40.831000000000003</v>
      </c>
      <c r="Q50" s="282">
        <f t="shared" si="13"/>
        <v>4.452</v>
      </c>
      <c r="R50" s="282">
        <f t="shared" si="13"/>
        <v>44.915500000000002</v>
      </c>
      <c r="S50" s="282">
        <f t="shared" si="13"/>
        <v>44.915500000000002</v>
      </c>
      <c r="T50" s="282">
        <f t="shared" si="13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4">+(B46/B48)/7*1000</f>
        <v>152.76452427729441</v>
      </c>
      <c r="C51" s="38">
        <f t="shared" si="14"/>
        <v>152.89812646370021</v>
      </c>
      <c r="D51" s="38">
        <f t="shared" si="14"/>
        <v>162.40601503759396</v>
      </c>
      <c r="E51" s="38">
        <f t="shared" si="14"/>
        <v>153.03110173958885</v>
      </c>
      <c r="F51" s="38">
        <f t="shared" si="14"/>
        <v>152.62470618960563</v>
      </c>
      <c r="G51" s="39">
        <f t="shared" si="14"/>
        <v>152.94723294723295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154.44015444015443</v>
      </c>
      <c r="P51" s="38">
        <f t="shared" si="15"/>
        <v>153.38345864661653</v>
      </c>
      <c r="Q51" s="38">
        <f t="shared" si="15"/>
        <v>167.85714285714283</v>
      </c>
      <c r="R51" s="38">
        <f t="shared" si="15"/>
        <v>156.44599303135885</v>
      </c>
      <c r="S51" s="38">
        <f t="shared" si="15"/>
        <v>156.44599303135885</v>
      </c>
      <c r="T51" s="38">
        <f t="shared" si="15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6">B50-B46</f>
        <v>0.19765999999981432</v>
      </c>
      <c r="C52" s="645">
        <f t="shared" si="16"/>
        <v>-0.26688000000001466</v>
      </c>
      <c r="D52" s="645">
        <f t="shared" si="16"/>
        <v>-2.5498800000000017</v>
      </c>
      <c r="E52" s="645">
        <f t="shared" si="16"/>
        <v>-0.80091999999990549</v>
      </c>
      <c r="F52" s="645">
        <f t="shared" si="16"/>
        <v>0.74777999999992062</v>
      </c>
      <c r="G52" s="645">
        <f t="shared" si="16"/>
        <v>-0.49429999999995289</v>
      </c>
      <c r="H52" s="41"/>
      <c r="I52" s="45"/>
      <c r="J52" s="45"/>
      <c r="K52" s="56"/>
      <c r="L52" s="41"/>
      <c r="M52" s="41"/>
      <c r="N52" s="42"/>
      <c r="O52" s="645">
        <f t="shared" ref="O52:T53" si="17">O50-O46</f>
        <v>1.5500000000002956E-2</v>
      </c>
      <c r="P52" s="645">
        <f t="shared" si="17"/>
        <v>3.1000000000005912E-2</v>
      </c>
      <c r="Q52" s="645">
        <f t="shared" si="17"/>
        <v>-0.24799999999999933</v>
      </c>
      <c r="R52" s="645">
        <f t="shared" si="17"/>
        <v>1.5500000000002956E-2</v>
      </c>
      <c r="S52" s="645">
        <f t="shared" si="17"/>
        <v>1.5500000000002956E-2</v>
      </c>
      <c r="T52" s="645">
        <f t="shared" si="17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-5.547572270558021E-2</v>
      </c>
      <c r="C53" s="42">
        <f t="shared" si="16"/>
        <v>7.8126463700215254E-2</v>
      </c>
      <c r="D53" s="42">
        <f t="shared" si="16"/>
        <v>9.5860150375939668</v>
      </c>
      <c r="E53" s="42">
        <f t="shared" si="16"/>
        <v>0.21110173958885525</v>
      </c>
      <c r="F53" s="42">
        <f t="shared" si="16"/>
        <v>-0.19529381039436089</v>
      </c>
      <c r="G53" s="42">
        <f t="shared" si="16"/>
        <v>0.12723294723295453</v>
      </c>
      <c r="I53" s="2"/>
      <c r="J53" s="2"/>
      <c r="K53" s="45"/>
      <c r="L53" s="41"/>
      <c r="M53" s="42"/>
      <c r="N53" s="42"/>
      <c r="O53" s="42">
        <f t="shared" si="17"/>
        <v>-5.9845559845570051E-2</v>
      </c>
      <c r="P53" s="42">
        <f t="shared" si="17"/>
        <v>-0.11654135338346805</v>
      </c>
      <c r="Q53" s="42">
        <f t="shared" si="17"/>
        <v>8.8571428571428328</v>
      </c>
      <c r="R53" s="42">
        <f t="shared" si="17"/>
        <v>-5.4006968641147068E-2</v>
      </c>
      <c r="S53" s="42">
        <f t="shared" si="17"/>
        <v>-5.4006968641147068E-2</v>
      </c>
      <c r="T53" s="42">
        <f t="shared" si="17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5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6.5</v>
      </c>
      <c r="D60" s="497">
        <v>6.8</v>
      </c>
      <c r="E60" s="725">
        <v>1.6</v>
      </c>
      <c r="F60" s="668">
        <v>6.8</v>
      </c>
      <c r="G60" s="497">
        <v>7</v>
      </c>
      <c r="H60" s="498">
        <v>7</v>
      </c>
      <c r="I60" s="667">
        <v>7</v>
      </c>
      <c r="J60" s="668">
        <v>7</v>
      </c>
      <c r="K60" s="497">
        <v>7.3</v>
      </c>
      <c r="L60" s="725">
        <v>1.7</v>
      </c>
      <c r="M60" s="668">
        <v>7.1</v>
      </c>
      <c r="N60" s="668">
        <v>7.1</v>
      </c>
      <c r="O60" s="498">
        <v>7</v>
      </c>
      <c r="P60" s="667">
        <v>7.1</v>
      </c>
      <c r="Q60" s="668">
        <v>7.1</v>
      </c>
      <c r="R60" s="668">
        <v>7.1</v>
      </c>
      <c r="S60" s="668">
        <v>1.6</v>
      </c>
      <c r="T60" s="668">
        <v>7.1</v>
      </c>
      <c r="U60" s="668">
        <v>7.1</v>
      </c>
      <c r="V60" s="669">
        <v>6.6</v>
      </c>
      <c r="W60" s="703">
        <f t="shared" ref="W60:W66" si="18">SUM(B60:V60)</f>
        <v>130.49999999999994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6.7</v>
      </c>
      <c r="E61" s="497">
        <v>1.5</v>
      </c>
      <c r="F61" s="497">
        <v>6.9</v>
      </c>
      <c r="G61" s="497">
        <v>7</v>
      </c>
      <c r="H61" s="498">
        <v>7</v>
      </c>
      <c r="I61" s="133">
        <v>7.1</v>
      </c>
      <c r="J61" s="497">
        <v>7.1</v>
      </c>
      <c r="K61" s="497">
        <v>7.3</v>
      </c>
      <c r="L61" s="497">
        <v>1.6</v>
      </c>
      <c r="M61" s="497">
        <v>7.1</v>
      </c>
      <c r="N61" s="497">
        <v>7.1</v>
      </c>
      <c r="O61" s="498">
        <v>7</v>
      </c>
      <c r="P61" s="133">
        <v>7.1</v>
      </c>
      <c r="Q61" s="497">
        <v>7.1</v>
      </c>
      <c r="R61" s="497">
        <v>7.1</v>
      </c>
      <c r="S61" s="497">
        <v>1.6</v>
      </c>
      <c r="T61" s="497">
        <v>7.1</v>
      </c>
      <c r="U61" s="497">
        <v>7.1</v>
      </c>
      <c r="V61" s="498">
        <v>6.6</v>
      </c>
      <c r="W61" s="703">
        <f t="shared" si="18"/>
        <v>130.59999999999997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6.6</v>
      </c>
      <c r="D62" s="497">
        <v>6.7</v>
      </c>
      <c r="E62" s="497">
        <v>1.5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1.7</v>
      </c>
      <c r="M62" s="497">
        <v>7.1</v>
      </c>
      <c r="N62" s="497">
        <v>7.1</v>
      </c>
      <c r="O62" s="498">
        <v>7</v>
      </c>
      <c r="P62" s="133">
        <v>7.2</v>
      </c>
      <c r="Q62" s="497">
        <v>7.2</v>
      </c>
      <c r="R62" s="497">
        <v>7.1</v>
      </c>
      <c r="S62" s="497">
        <v>1.6</v>
      </c>
      <c r="T62" s="497">
        <v>7.1</v>
      </c>
      <c r="U62" s="497">
        <v>7.1</v>
      </c>
      <c r="V62" s="498">
        <v>6.6</v>
      </c>
      <c r="W62" s="703">
        <f t="shared" si="18"/>
        <v>130.79999999999998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6.6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1.7</v>
      </c>
      <c r="M63" s="497">
        <v>7</v>
      </c>
      <c r="N63" s="497">
        <v>7.2</v>
      </c>
      <c r="O63" s="499">
        <v>7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8"/>
        <v>130.69999999999999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86">
        <v>1.5</v>
      </c>
      <c r="M64" s="497">
        <v>7</v>
      </c>
      <c r="N64" s="497">
        <v>7.2</v>
      </c>
      <c r="O64" s="498">
        <v>6.9</v>
      </c>
      <c r="P64" s="133">
        <v>7.2</v>
      </c>
      <c r="Q64" s="497">
        <v>7.2</v>
      </c>
      <c r="R64" s="497">
        <v>7</v>
      </c>
      <c r="S64" s="497">
        <v>1.6</v>
      </c>
      <c r="T64" s="497">
        <v>7</v>
      </c>
      <c r="U64" s="497">
        <v>7.1</v>
      </c>
      <c r="V64" s="498">
        <v>6.7</v>
      </c>
      <c r="W64" s="703">
        <f t="shared" si="18"/>
        <v>130.30000000000001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1.3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1.4</v>
      </c>
      <c r="M65" s="497">
        <v>7</v>
      </c>
      <c r="N65" s="497">
        <v>7.2</v>
      </c>
      <c r="O65" s="498">
        <v>6.9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7.2</v>
      </c>
      <c r="V65" s="498">
        <v>6.7</v>
      </c>
      <c r="W65" s="703">
        <f t="shared" si="18"/>
        <v>130.20000000000002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6.7</v>
      </c>
      <c r="E66" s="497">
        <v>1.3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497">
        <v>1.4</v>
      </c>
      <c r="M66" s="671">
        <v>7</v>
      </c>
      <c r="N66" s="671">
        <v>7.2</v>
      </c>
      <c r="O66" s="498">
        <v>6.9</v>
      </c>
      <c r="P66" s="670">
        <v>7.2</v>
      </c>
      <c r="Q66" s="671">
        <v>7.2</v>
      </c>
      <c r="R66" s="671">
        <v>7</v>
      </c>
      <c r="S66" s="671">
        <v>1.6</v>
      </c>
      <c r="T66" s="671">
        <v>7</v>
      </c>
      <c r="U66" s="671">
        <v>7.2</v>
      </c>
      <c r="V66" s="672">
        <v>6.7</v>
      </c>
      <c r="W66" s="703">
        <f t="shared" si="18"/>
        <v>130.20000000000002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19">SUM(D60:D66)</f>
        <v>47.000000000000007</v>
      </c>
      <c r="E67" s="201">
        <f t="shared" si="19"/>
        <v>10.100000000000001</v>
      </c>
      <c r="F67" s="201">
        <f t="shared" si="19"/>
        <v>48.199999999999996</v>
      </c>
      <c r="G67" s="201">
        <f t="shared" si="19"/>
        <v>49</v>
      </c>
      <c r="H67" s="273">
        <f t="shared" si="19"/>
        <v>49</v>
      </c>
      <c r="I67" s="200">
        <f t="shared" si="19"/>
        <v>49.6</v>
      </c>
      <c r="J67" s="201">
        <f t="shared" si="19"/>
        <v>49.6</v>
      </c>
      <c r="K67" s="201">
        <f t="shared" si="19"/>
        <v>50.600000000000009</v>
      </c>
      <c r="L67" s="201">
        <f t="shared" si="19"/>
        <v>11</v>
      </c>
      <c r="M67" s="201">
        <f t="shared" si="19"/>
        <v>49.3</v>
      </c>
      <c r="N67" s="201">
        <f t="shared" si="19"/>
        <v>50.1</v>
      </c>
      <c r="O67" s="229">
        <f t="shared" si="19"/>
        <v>48.699999999999996</v>
      </c>
      <c r="P67" s="200">
        <f t="shared" si="19"/>
        <v>50.2</v>
      </c>
      <c r="Q67" s="201">
        <f t="shared" si="19"/>
        <v>50.2</v>
      </c>
      <c r="R67" s="201">
        <f t="shared" si="19"/>
        <v>49.3</v>
      </c>
      <c r="S67" s="201">
        <f t="shared" si="19"/>
        <v>11.2</v>
      </c>
      <c r="T67" s="201">
        <f t="shared" si="19"/>
        <v>49.3</v>
      </c>
      <c r="U67" s="201">
        <f t="shared" si="19"/>
        <v>49.900000000000006</v>
      </c>
      <c r="V67" s="229">
        <f t="shared" si="19"/>
        <v>46.6</v>
      </c>
      <c r="W67" s="326">
        <f>SUM(W60:W66)</f>
        <v>913.3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160.67909922589726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0">((((B68*7)*B69)/1000-B60-B61)/5)</f>
        <v>6.9020999999999999</v>
      </c>
      <c r="C70" s="30">
        <f t="shared" si="20"/>
        <v>6.3679999999999994</v>
      </c>
      <c r="D70" s="30">
        <f t="shared" si="20"/>
        <v>6.7080000000000002</v>
      </c>
      <c r="E70" s="30">
        <f t="shared" si="20"/>
        <v>1.3960000000000001</v>
      </c>
      <c r="F70" s="30">
        <f t="shared" si="20"/>
        <v>6.8920000000000003</v>
      </c>
      <c r="G70" s="30">
        <f t="shared" si="20"/>
        <v>6.9944000000000006</v>
      </c>
      <c r="H70" s="30">
        <f t="shared" si="20"/>
        <v>6.9944000000000006</v>
      </c>
      <c r="I70" s="30">
        <f t="shared" si="20"/>
        <v>7.0975999999999999</v>
      </c>
      <c r="J70" s="30">
        <f t="shared" si="20"/>
        <v>7.0975999999999999</v>
      </c>
      <c r="K70" s="30">
        <f t="shared" si="20"/>
        <v>7.1915000000000004</v>
      </c>
      <c r="L70" s="30">
        <f t="shared" si="20"/>
        <v>1.3623000000000001</v>
      </c>
      <c r="M70" s="30">
        <f t="shared" si="20"/>
        <v>7.016</v>
      </c>
      <c r="N70" s="30">
        <f t="shared" si="20"/>
        <v>7.1769999999999996</v>
      </c>
      <c r="O70" s="30">
        <f t="shared" si="20"/>
        <v>6.7718000000000007</v>
      </c>
      <c r="P70" s="30">
        <f t="shared" si="20"/>
        <v>7.2007999999999992</v>
      </c>
      <c r="Q70" s="30">
        <f t="shared" si="20"/>
        <v>7.2007999999999992</v>
      </c>
      <c r="R70" s="30">
        <f t="shared" si="20"/>
        <v>7.016</v>
      </c>
      <c r="S70" s="30">
        <f t="shared" si="20"/>
        <v>1.6</v>
      </c>
      <c r="T70" s="30">
        <f t="shared" si="20"/>
        <v>7.016</v>
      </c>
      <c r="U70" s="30">
        <f t="shared" si="20"/>
        <v>7.1455000000000002</v>
      </c>
      <c r="V70" s="30">
        <f t="shared" si="20"/>
        <v>6.6797999999999984</v>
      </c>
      <c r="W70" s="329">
        <f>((W67*1000)/7)/W69</f>
        <v>160.67909922589726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1">((D69*D68)*7)/1000</f>
        <v>47.04</v>
      </c>
      <c r="E71" s="282">
        <f t="shared" si="21"/>
        <v>10.08</v>
      </c>
      <c r="F71" s="282">
        <f t="shared" si="21"/>
        <v>48.16</v>
      </c>
      <c r="G71" s="282">
        <f t="shared" si="21"/>
        <v>48.972000000000001</v>
      </c>
      <c r="H71" s="284">
        <f t="shared" si="21"/>
        <v>48.972000000000001</v>
      </c>
      <c r="I71" s="285">
        <f t="shared" si="21"/>
        <v>49.588000000000001</v>
      </c>
      <c r="J71" s="282">
        <f t="shared" si="21"/>
        <v>49.588000000000001</v>
      </c>
      <c r="K71" s="282">
        <f t="shared" si="21"/>
        <v>50.557499999999997</v>
      </c>
      <c r="L71" s="282">
        <f t="shared" si="21"/>
        <v>10.111499999999999</v>
      </c>
      <c r="M71" s="282">
        <f t="shared" si="21"/>
        <v>49.28</v>
      </c>
      <c r="N71" s="282">
        <f t="shared" si="21"/>
        <v>50.085000000000001</v>
      </c>
      <c r="O71" s="283">
        <f t="shared" si="21"/>
        <v>47.859000000000002</v>
      </c>
      <c r="P71" s="285">
        <f t="shared" si="21"/>
        <v>50.204000000000001</v>
      </c>
      <c r="Q71" s="282">
        <f t="shared" si="21"/>
        <v>50.204000000000001</v>
      </c>
      <c r="R71" s="282">
        <f t="shared" si="21"/>
        <v>49.28</v>
      </c>
      <c r="S71" s="282">
        <f t="shared" si="21"/>
        <v>11.2</v>
      </c>
      <c r="T71" s="282">
        <f t="shared" si="21"/>
        <v>49.28</v>
      </c>
      <c r="U71" s="282">
        <f t="shared" si="21"/>
        <v>49.927500000000002</v>
      </c>
      <c r="V71" s="283">
        <f t="shared" si="21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2">+(C67/C69)/7*1000</f>
        <v>164.64285714285714</v>
      </c>
      <c r="D72" s="38">
        <f t="shared" si="22"/>
        <v>159.86394557823132</v>
      </c>
      <c r="E72" s="38">
        <f>+(E67/E69)/7*1000</f>
        <v>160.31746031746036</v>
      </c>
      <c r="F72" s="38">
        <f t="shared" si="22"/>
        <v>160.13289036544847</v>
      </c>
      <c r="G72" s="38">
        <f t="shared" si="22"/>
        <v>159.09090909090909</v>
      </c>
      <c r="H72" s="39">
        <f t="shared" si="22"/>
        <v>159.09090909090909</v>
      </c>
      <c r="I72" s="67">
        <f t="shared" si="22"/>
        <v>161.03896103896105</v>
      </c>
      <c r="J72" s="38">
        <f t="shared" si="22"/>
        <v>161.03896103896105</v>
      </c>
      <c r="K72" s="38">
        <f t="shared" si="22"/>
        <v>160.63492063492066</v>
      </c>
      <c r="L72" s="38">
        <f t="shared" si="22"/>
        <v>174.60317460317461</v>
      </c>
      <c r="M72" s="38">
        <f t="shared" si="22"/>
        <v>160.06493506493504</v>
      </c>
      <c r="N72" s="38">
        <f t="shared" si="22"/>
        <v>159.04761904761904</v>
      </c>
      <c r="O72" s="158">
        <f t="shared" si="22"/>
        <v>161.79401993355481</v>
      </c>
      <c r="P72" s="67">
        <f t="shared" si="22"/>
        <v>162.98701298701297</v>
      </c>
      <c r="Q72" s="38">
        <f t="shared" si="22"/>
        <v>162.98701298701297</v>
      </c>
      <c r="R72" s="38">
        <f t="shared" si="22"/>
        <v>160.06493506493504</v>
      </c>
      <c r="S72" s="38">
        <f t="shared" si="22"/>
        <v>159.99999999999997</v>
      </c>
      <c r="T72" s="38">
        <f t="shared" si="22"/>
        <v>160.06493506493504</v>
      </c>
      <c r="U72" s="38">
        <f t="shared" si="22"/>
        <v>158.41269841269843</v>
      </c>
      <c r="V72" s="158">
        <f t="shared" si="22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3">B71-B67</f>
        <v>1.0500000000000398E-2</v>
      </c>
      <c r="C73" s="645">
        <f t="shared" si="23"/>
        <v>-1.1600000000000037</v>
      </c>
      <c r="D73" s="645">
        <f t="shared" si="23"/>
        <v>3.9999999999992042E-2</v>
      </c>
      <c r="E73" s="645">
        <f t="shared" si="23"/>
        <v>-2.000000000000135E-2</v>
      </c>
      <c r="F73" s="645">
        <f t="shared" si="23"/>
        <v>-3.9999999999999147E-2</v>
      </c>
      <c r="G73" s="645">
        <f t="shared" si="23"/>
        <v>-2.7999999999998693E-2</v>
      </c>
      <c r="H73" s="645">
        <f t="shared" si="23"/>
        <v>-2.7999999999998693E-2</v>
      </c>
      <c r="I73" s="645">
        <f t="shared" si="23"/>
        <v>-1.2000000000000455E-2</v>
      </c>
      <c r="J73" s="645">
        <f t="shared" si="23"/>
        <v>-1.2000000000000455E-2</v>
      </c>
      <c r="K73" s="645">
        <f t="shared" si="23"/>
        <v>-4.2500000000011084E-2</v>
      </c>
      <c r="L73" s="645">
        <f t="shared" si="23"/>
        <v>-0.88850000000000051</v>
      </c>
      <c r="M73" s="645">
        <f t="shared" si="23"/>
        <v>-1.9999999999996021E-2</v>
      </c>
      <c r="N73" s="645">
        <f t="shared" si="23"/>
        <v>-1.5000000000000568E-2</v>
      </c>
      <c r="O73" s="645">
        <f t="shared" si="23"/>
        <v>-0.84099999999999397</v>
      </c>
      <c r="P73" s="645">
        <f t="shared" si="23"/>
        <v>3.9999999999977831E-3</v>
      </c>
      <c r="Q73" s="645">
        <f t="shared" si="23"/>
        <v>3.9999999999977831E-3</v>
      </c>
      <c r="R73" s="645">
        <f t="shared" si="23"/>
        <v>-1.9999999999996021E-2</v>
      </c>
      <c r="S73" s="645">
        <f t="shared" si="23"/>
        <v>0</v>
      </c>
      <c r="T73" s="645">
        <f t="shared" si="23"/>
        <v>-1.9999999999996021E-2</v>
      </c>
      <c r="U73" s="645">
        <f t="shared" si="23"/>
        <v>2.7499999999996305E-2</v>
      </c>
      <c r="V73" s="645">
        <f t="shared" si="23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3"/>
        <v>4.1428571428571388</v>
      </c>
      <c r="D74" s="42">
        <f t="shared" si="23"/>
        <v>-0.13605442176867655</v>
      </c>
      <c r="E74" s="42">
        <f t="shared" si="23"/>
        <v>0.31746031746035897</v>
      </c>
      <c r="F74" s="42">
        <f t="shared" si="23"/>
        <v>0.13289036544847477</v>
      </c>
      <c r="G74" s="42">
        <f t="shared" si="23"/>
        <v>9.0909090909093493E-2</v>
      </c>
      <c r="H74" s="42">
        <f t="shared" si="23"/>
        <v>9.0909090909093493E-2</v>
      </c>
      <c r="I74" s="42">
        <f t="shared" si="23"/>
        <v>3.8961038961048189E-2</v>
      </c>
      <c r="J74" s="42">
        <f t="shared" si="23"/>
        <v>3.8961038961048189E-2</v>
      </c>
      <c r="K74" s="42">
        <f t="shared" si="23"/>
        <v>0.13492063492066109</v>
      </c>
      <c r="L74" s="42">
        <f t="shared" si="23"/>
        <v>14.103174603174608</v>
      </c>
      <c r="M74" s="42">
        <f t="shared" si="23"/>
        <v>6.4935064935042419E-2</v>
      </c>
      <c r="N74" s="42">
        <f t="shared" si="23"/>
        <v>4.7619047619036792E-2</v>
      </c>
      <c r="O74" s="42">
        <f t="shared" si="23"/>
        <v>2.7940199335548073</v>
      </c>
      <c r="P74" s="42">
        <f t="shared" si="23"/>
        <v>-1.2987012987025537E-2</v>
      </c>
      <c r="Q74" s="42">
        <f>Q72-Q68</f>
        <v>-1.2987012987025537E-2</v>
      </c>
      <c r="R74" s="42">
        <f t="shared" si="23"/>
        <v>6.4935064935042419E-2</v>
      </c>
      <c r="S74" s="42">
        <f t="shared" si="23"/>
        <v>0</v>
      </c>
      <c r="T74" s="42">
        <f t="shared" si="23"/>
        <v>6.4935064935042419E-2</v>
      </c>
      <c r="U74" s="42">
        <f t="shared" si="23"/>
        <v>-8.7301587301567452E-2</v>
      </c>
      <c r="V74" s="42">
        <f t="shared" si="23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9"/>
  <dimension ref="A1:Z237"/>
  <sheetViews>
    <sheetView topLeftCell="A49" zoomScale="30" zoomScaleNormal="30" workbookViewId="0">
      <selection activeCell="O47" sqref="O47:T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/>
      <c r="Q11" s="1022"/>
      <c r="R11" s="6"/>
      <c r="S11" s="1" t="s">
        <v>6</v>
      </c>
      <c r="T11" s="95">
        <v>45777</v>
      </c>
      <c r="U11" s="95">
        <f>T11+6</f>
        <v>45783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84.7</v>
      </c>
      <c r="C18" s="486">
        <v>83.4</v>
      </c>
      <c r="D18" s="497">
        <v>83.9</v>
      </c>
      <c r="E18" s="486">
        <v>14.9</v>
      </c>
      <c r="F18" s="497">
        <v>85</v>
      </c>
      <c r="G18" s="497">
        <v>83.4</v>
      </c>
      <c r="H18" s="498">
        <v>85.1</v>
      </c>
      <c r="I18" s="126">
        <v>87.8</v>
      </c>
      <c r="J18" s="486">
        <v>89.3</v>
      </c>
      <c r="K18" s="497">
        <v>91</v>
      </c>
      <c r="L18" s="486">
        <v>17.399999999999999</v>
      </c>
      <c r="M18" s="497">
        <v>89.4</v>
      </c>
      <c r="N18" s="497">
        <v>90.2</v>
      </c>
      <c r="O18" s="497">
        <v>90</v>
      </c>
      <c r="P18" s="485">
        <v>90.3</v>
      </c>
      <c r="Q18" s="497">
        <v>90.3</v>
      </c>
      <c r="R18" s="497">
        <v>88.7</v>
      </c>
      <c r="S18" s="497">
        <v>19.8</v>
      </c>
      <c r="T18" s="486">
        <v>90</v>
      </c>
      <c r="U18" s="497">
        <v>89.6</v>
      </c>
      <c r="V18" s="498">
        <v>90.5</v>
      </c>
      <c r="W18" s="596">
        <f t="shared" ref="W18:W23" si="0">SUM(B18:V18)</f>
        <v>1634.6999999999998</v>
      </c>
      <c r="Y18" s="697">
        <v>2</v>
      </c>
    </row>
    <row r="19" spans="1:25" ht="39.950000000000003" customHeight="1" x14ac:dyDescent="0.25">
      <c r="A19" s="146" t="s">
        <v>24</v>
      </c>
      <c r="B19" s="485">
        <v>84.5</v>
      </c>
      <c r="C19" s="497">
        <v>83.4</v>
      </c>
      <c r="D19" s="486">
        <v>83.9</v>
      </c>
      <c r="E19" s="497">
        <v>14.9</v>
      </c>
      <c r="F19" s="497">
        <v>84.9</v>
      </c>
      <c r="G19" s="497">
        <v>83.4</v>
      </c>
      <c r="H19" s="499">
        <v>84.9</v>
      </c>
      <c r="I19" s="126">
        <v>88.1</v>
      </c>
      <c r="J19" s="497">
        <v>89.1</v>
      </c>
      <c r="K19" s="497">
        <v>91</v>
      </c>
      <c r="L19" s="497">
        <v>17.3</v>
      </c>
      <c r="M19" s="497">
        <v>89.4</v>
      </c>
      <c r="N19" s="497">
        <v>90.2</v>
      </c>
      <c r="O19" s="497">
        <v>90.2</v>
      </c>
      <c r="P19" s="133">
        <v>90.2</v>
      </c>
      <c r="Q19" s="486">
        <v>90.3</v>
      </c>
      <c r="R19" s="497">
        <v>89</v>
      </c>
      <c r="S19" s="497">
        <v>19.8</v>
      </c>
      <c r="T19" s="486">
        <v>89.7</v>
      </c>
      <c r="U19" s="497">
        <v>89.6</v>
      </c>
      <c r="V19" s="499">
        <v>90.5</v>
      </c>
      <c r="W19" s="538">
        <f t="shared" si="0"/>
        <v>1634.3</v>
      </c>
      <c r="X19" s="616">
        <f>W19-W18</f>
        <v>-0.39999999999986358</v>
      </c>
      <c r="Y19" s="698">
        <v>3</v>
      </c>
    </row>
    <row r="20" spans="1:25" ht="39.75" customHeight="1" x14ac:dyDescent="0.25">
      <c r="A20" s="146" t="s">
        <v>20</v>
      </c>
      <c r="B20" s="133">
        <v>84.4</v>
      </c>
      <c r="C20" s="497">
        <v>83.4</v>
      </c>
      <c r="D20" s="497">
        <v>83.8</v>
      </c>
      <c r="E20" s="497">
        <v>14.9</v>
      </c>
      <c r="F20" s="497">
        <v>84.9</v>
      </c>
      <c r="G20" s="497">
        <v>83.4</v>
      </c>
      <c r="H20" s="499">
        <v>84.8</v>
      </c>
      <c r="I20" s="456">
        <v>88.1</v>
      </c>
      <c r="J20" s="497">
        <v>89.1</v>
      </c>
      <c r="K20" s="497">
        <v>91</v>
      </c>
      <c r="L20" s="497">
        <v>17.3</v>
      </c>
      <c r="M20" s="497">
        <v>89.4</v>
      </c>
      <c r="N20" s="497">
        <v>90.2</v>
      </c>
      <c r="O20" s="497">
        <v>90.2</v>
      </c>
      <c r="P20" s="133">
        <v>90.2</v>
      </c>
      <c r="Q20" s="497">
        <v>90.2</v>
      </c>
      <c r="R20" s="497">
        <v>89</v>
      </c>
      <c r="S20" s="497">
        <v>19.8</v>
      </c>
      <c r="T20" s="497">
        <v>89.6</v>
      </c>
      <c r="U20" s="497">
        <v>89.6</v>
      </c>
      <c r="V20" s="498">
        <v>90.4</v>
      </c>
      <c r="W20" s="538">
        <f t="shared" si="0"/>
        <v>1633.6999999999998</v>
      </c>
      <c r="Y20" s="699">
        <v>4</v>
      </c>
    </row>
    <row r="21" spans="1:25" ht="39.950000000000003" customHeight="1" x14ac:dyDescent="0.25">
      <c r="A21" s="146" t="s">
        <v>28</v>
      </c>
      <c r="B21" s="133">
        <v>84.4</v>
      </c>
      <c r="C21" s="497">
        <v>83.4</v>
      </c>
      <c r="D21" s="753">
        <v>83.8</v>
      </c>
      <c r="E21" s="497">
        <v>14.9</v>
      </c>
      <c r="F21" s="497">
        <v>84.9</v>
      </c>
      <c r="G21" s="497">
        <v>83.4</v>
      </c>
      <c r="H21" s="499">
        <v>84.7</v>
      </c>
      <c r="I21" s="126">
        <v>88</v>
      </c>
      <c r="J21" s="497">
        <v>89.1</v>
      </c>
      <c r="K21" s="497">
        <v>91</v>
      </c>
      <c r="L21" s="497">
        <v>17.3</v>
      </c>
      <c r="M21" s="497">
        <v>89.4</v>
      </c>
      <c r="N21" s="497">
        <v>90.2</v>
      </c>
      <c r="O21" s="497">
        <v>90.2</v>
      </c>
      <c r="P21" s="133">
        <v>90.2</v>
      </c>
      <c r="Q21" s="497">
        <v>90.2</v>
      </c>
      <c r="R21" s="497">
        <v>89</v>
      </c>
      <c r="S21" s="497">
        <v>19.8</v>
      </c>
      <c r="T21" s="497">
        <v>89.6</v>
      </c>
      <c r="U21" s="486">
        <v>89.6</v>
      </c>
      <c r="V21" s="498">
        <v>90.4</v>
      </c>
      <c r="W21" s="538">
        <f t="shared" si="0"/>
        <v>1633.5</v>
      </c>
      <c r="Y21" s="700">
        <v>5</v>
      </c>
    </row>
    <row r="22" spans="1:25" ht="39.950000000000003" customHeight="1" x14ac:dyDescent="0.25">
      <c r="A22" s="146" t="s">
        <v>21</v>
      </c>
      <c r="B22" s="133">
        <v>84.4</v>
      </c>
      <c r="C22" s="497">
        <v>83.4</v>
      </c>
      <c r="D22" s="497">
        <v>83.3</v>
      </c>
      <c r="E22" s="497">
        <v>14.9</v>
      </c>
      <c r="F22" s="497">
        <v>84.9</v>
      </c>
      <c r="G22" s="497">
        <v>83.4</v>
      </c>
      <c r="H22" s="499">
        <v>84.6</v>
      </c>
      <c r="I22" s="602">
        <v>88</v>
      </c>
      <c r="J22" s="497">
        <v>89.1</v>
      </c>
      <c r="K22" s="486">
        <v>91</v>
      </c>
      <c r="L22" s="497">
        <v>17.3</v>
      </c>
      <c r="M22" s="497">
        <v>89.4</v>
      </c>
      <c r="N22" s="497">
        <v>90.2</v>
      </c>
      <c r="O22" s="497">
        <v>90.2</v>
      </c>
      <c r="P22" s="133">
        <v>90.2</v>
      </c>
      <c r="Q22" s="497">
        <v>90.2</v>
      </c>
      <c r="R22" s="497">
        <v>89</v>
      </c>
      <c r="S22" s="497">
        <v>19.8</v>
      </c>
      <c r="T22" s="497">
        <v>89.6</v>
      </c>
      <c r="U22" s="497">
        <v>89.5</v>
      </c>
      <c r="V22" s="498">
        <v>90.4</v>
      </c>
      <c r="W22" s="538">
        <f t="shared" si="0"/>
        <v>1632.8</v>
      </c>
      <c r="Y22" s="701">
        <v>6</v>
      </c>
    </row>
    <row r="23" spans="1:25" ht="39.950000000000003" customHeight="1" x14ac:dyDescent="0.25">
      <c r="A23" s="146" t="s">
        <v>22</v>
      </c>
      <c r="B23" s="133">
        <v>84</v>
      </c>
      <c r="C23" s="497">
        <v>83.4</v>
      </c>
      <c r="D23" s="497">
        <v>82</v>
      </c>
      <c r="E23" s="486">
        <v>14.9</v>
      </c>
      <c r="F23" s="497">
        <v>84.9</v>
      </c>
      <c r="G23" s="497">
        <v>83.4</v>
      </c>
      <c r="H23" s="498">
        <v>83.6</v>
      </c>
      <c r="I23" s="126">
        <v>87.7</v>
      </c>
      <c r="J23" s="497">
        <v>89.1</v>
      </c>
      <c r="K23" s="497">
        <v>90.9</v>
      </c>
      <c r="L23" s="497">
        <v>17</v>
      </c>
      <c r="M23" s="497">
        <v>89.4</v>
      </c>
      <c r="N23" s="497">
        <v>90.2</v>
      </c>
      <c r="O23" s="497">
        <v>90.7</v>
      </c>
      <c r="P23" s="133">
        <v>90.2</v>
      </c>
      <c r="Q23" s="497">
        <v>90.1</v>
      </c>
      <c r="R23" s="497">
        <v>89.5</v>
      </c>
      <c r="S23" s="497">
        <v>20.5</v>
      </c>
      <c r="T23" s="497">
        <v>89.3</v>
      </c>
      <c r="U23" s="497">
        <v>89.1</v>
      </c>
      <c r="V23" s="498">
        <v>90.1</v>
      </c>
      <c r="W23" s="538">
        <f t="shared" si="0"/>
        <v>1629.9999999999998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84.1</v>
      </c>
      <c r="C24" s="486">
        <v>83.6</v>
      </c>
      <c r="D24" s="497">
        <v>82.3</v>
      </c>
      <c r="E24" s="486">
        <v>14</v>
      </c>
      <c r="F24" s="497">
        <v>85.3</v>
      </c>
      <c r="G24" s="497">
        <v>83.6</v>
      </c>
      <c r="H24" s="498">
        <v>82.2</v>
      </c>
      <c r="I24" s="456">
        <v>86.5</v>
      </c>
      <c r="J24" s="497">
        <v>89.1</v>
      </c>
      <c r="K24" s="497">
        <v>92</v>
      </c>
      <c r="L24" s="497">
        <v>17.100000000000001</v>
      </c>
      <c r="M24" s="486">
        <v>89.7</v>
      </c>
      <c r="N24" s="486">
        <v>90.3</v>
      </c>
      <c r="O24" s="486">
        <v>91</v>
      </c>
      <c r="P24" s="133">
        <v>91.2</v>
      </c>
      <c r="Q24" s="497">
        <v>90.2</v>
      </c>
      <c r="R24" s="497">
        <v>89.7</v>
      </c>
      <c r="S24" s="486">
        <v>20.6</v>
      </c>
      <c r="T24" s="497">
        <v>89.4</v>
      </c>
      <c r="U24" s="497">
        <v>89.1</v>
      </c>
      <c r="V24" s="498">
        <v>90.2</v>
      </c>
      <c r="W24" s="538">
        <f>SUM(B24:V24)</f>
        <v>1631.2000000000003</v>
      </c>
    </row>
    <row r="25" spans="1:25" ht="41.45" customHeight="1" x14ac:dyDescent="0.25">
      <c r="A25" s="182" t="s">
        <v>9</v>
      </c>
      <c r="B25" s="122">
        <f>SUM(B18:B24)</f>
        <v>590.5</v>
      </c>
      <c r="C25" s="120">
        <f>SUM(C18:C24)</f>
        <v>584</v>
      </c>
      <c r="D25" s="120">
        <f t="shared" ref="D25:V25" si="1">SUM(D18:D24)</f>
        <v>583</v>
      </c>
      <c r="E25" s="120">
        <f>SUM(E18:E24)</f>
        <v>103.4</v>
      </c>
      <c r="F25" s="120">
        <f t="shared" si="1"/>
        <v>594.79999999999995</v>
      </c>
      <c r="G25" s="120">
        <f t="shared" si="1"/>
        <v>584</v>
      </c>
      <c r="H25" s="121">
        <f t="shared" si="1"/>
        <v>589.90000000000009</v>
      </c>
      <c r="I25" s="122">
        <f t="shared" si="1"/>
        <v>614.20000000000005</v>
      </c>
      <c r="J25" s="120">
        <f t="shared" si="1"/>
        <v>623.90000000000009</v>
      </c>
      <c r="K25" s="120">
        <f t="shared" si="1"/>
        <v>637.9</v>
      </c>
      <c r="L25" s="120">
        <f t="shared" si="1"/>
        <v>120.69999999999999</v>
      </c>
      <c r="M25" s="120">
        <f t="shared" si="1"/>
        <v>626.1</v>
      </c>
      <c r="N25" s="120">
        <f t="shared" si="1"/>
        <v>631.5</v>
      </c>
      <c r="O25" s="121">
        <f t="shared" si="1"/>
        <v>632.5</v>
      </c>
      <c r="P25" s="122">
        <f t="shared" si="1"/>
        <v>632.5</v>
      </c>
      <c r="Q25" s="120">
        <f t="shared" si="1"/>
        <v>631.5</v>
      </c>
      <c r="R25" s="120">
        <f t="shared" si="1"/>
        <v>623.90000000000009</v>
      </c>
      <c r="S25" s="120">
        <f>SUM(S18:S24)</f>
        <v>140.1</v>
      </c>
      <c r="T25" s="120">
        <f t="shared" si="1"/>
        <v>627.19999999999993</v>
      </c>
      <c r="U25" s="120">
        <f t="shared" si="1"/>
        <v>626.1</v>
      </c>
      <c r="V25" s="121">
        <f t="shared" si="1"/>
        <v>632.5</v>
      </c>
      <c r="W25" s="361">
        <f>SUM(W18:W24)</f>
        <v>11430.2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153.92964878258999</v>
      </c>
      <c r="Y26" s="41"/>
    </row>
    <row r="27" spans="1:25" s="2" customFormat="1" ht="33" customHeight="1" x14ac:dyDescent="0.25">
      <c r="A27" s="149" t="s">
        <v>12</v>
      </c>
      <c r="B27" s="26">
        <v>548</v>
      </c>
      <c r="C27" s="27">
        <v>542</v>
      </c>
      <c r="D27" s="27">
        <v>541</v>
      </c>
      <c r="E27" s="27">
        <v>96</v>
      </c>
      <c r="F27" s="27">
        <v>552</v>
      </c>
      <c r="G27" s="27">
        <v>542</v>
      </c>
      <c r="H27" s="28">
        <v>548</v>
      </c>
      <c r="I27" s="26">
        <v>570</v>
      </c>
      <c r="J27" s="27">
        <v>579</v>
      </c>
      <c r="K27" s="27">
        <v>592</v>
      </c>
      <c r="L27" s="27">
        <v>112</v>
      </c>
      <c r="M27" s="27">
        <v>581</v>
      </c>
      <c r="N27" s="27">
        <v>586</v>
      </c>
      <c r="O27" s="28">
        <v>587</v>
      </c>
      <c r="P27" s="26">
        <v>587</v>
      </c>
      <c r="Q27" s="27">
        <v>586</v>
      </c>
      <c r="R27" s="27">
        <v>579</v>
      </c>
      <c r="S27" s="27">
        <v>130</v>
      </c>
      <c r="T27" s="27">
        <v>582</v>
      </c>
      <c r="U27" s="27">
        <v>581</v>
      </c>
      <c r="V27" s="28">
        <v>587</v>
      </c>
      <c r="W27" s="29">
        <f>SUM(B27:V27)</f>
        <v>10608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84.302306666666553</v>
      </c>
      <c r="C28" s="30">
        <f t="shared" ref="C28:V28" si="2">((((C26*7)*C27)/1000-C18)/6)</f>
        <v>83.44139333333321</v>
      </c>
      <c r="D28" s="30">
        <f t="shared" si="2"/>
        <v>83.178463333333198</v>
      </c>
      <c r="E28" s="30">
        <f t="shared" si="2"/>
        <v>14.757946666666642</v>
      </c>
      <c r="F28" s="30">
        <f t="shared" si="2"/>
        <v>84.970693333333202</v>
      </c>
      <c r="G28" s="30">
        <f t="shared" si="2"/>
        <v>83.44139333333321</v>
      </c>
      <c r="H28" s="30">
        <f t="shared" si="2"/>
        <v>84.235639999999876</v>
      </c>
      <c r="I28" s="30">
        <f t="shared" si="2"/>
        <v>87.73676666666654</v>
      </c>
      <c r="J28" s="30">
        <f t="shared" si="2"/>
        <v>89.103136666666543</v>
      </c>
      <c r="K28" s="30">
        <f t="shared" si="2"/>
        <v>91.154559999999876</v>
      </c>
      <c r="L28" s="30">
        <f t="shared" si="2"/>
        <v>17.214826666666642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90.42324333333319</v>
      </c>
      <c r="P28" s="30">
        <f t="shared" si="2"/>
        <v>90.373243333333207</v>
      </c>
      <c r="Q28" s="30">
        <f t="shared" si="2"/>
        <v>90.193646666666538</v>
      </c>
      <c r="R28" s="30">
        <f t="shared" si="2"/>
        <v>89.203136666666524</v>
      </c>
      <c r="S28" s="30">
        <f t="shared" si="2"/>
        <v>20.047566666666636</v>
      </c>
      <c r="T28" s="30">
        <f t="shared" si="2"/>
        <v>89.525259999999847</v>
      </c>
      <c r="U28" s="30">
        <f t="shared" si="2"/>
        <v>89.412329999999869</v>
      </c>
      <c r="V28" s="30">
        <f t="shared" si="2"/>
        <v>90.339909999999861</v>
      </c>
      <c r="W28" s="362">
        <f>((W25*1000)/7)/W27</f>
        <v>153.92964878258996</v>
      </c>
      <c r="Y28" s="41"/>
    </row>
    <row r="29" spans="1:25" ht="33.75" customHeight="1" x14ac:dyDescent="0.25">
      <c r="A29" s="151" t="s">
        <v>14</v>
      </c>
      <c r="B29" s="281">
        <f>((B27*B26)*7)/1000</f>
        <v>590.51383999999928</v>
      </c>
      <c r="C29" s="282">
        <f>((C27*C26)*7)/1000</f>
        <v>584.04835999999932</v>
      </c>
      <c r="D29" s="282">
        <f t="shared" ref="D29:V29" si="3">((D27*D26)*7)/1000</f>
        <v>582.97077999999919</v>
      </c>
      <c r="E29" s="282">
        <f t="shared" si="3"/>
        <v>103.44767999999986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590.51383999999928</v>
      </c>
      <c r="I29" s="281">
        <f t="shared" si="3"/>
        <v>614.22059999999919</v>
      </c>
      <c r="J29" s="282">
        <f t="shared" si="3"/>
        <v>623.91881999999919</v>
      </c>
      <c r="K29" s="282">
        <f t="shared" si="3"/>
        <v>637.92735999999923</v>
      </c>
      <c r="L29" s="282">
        <f t="shared" si="3"/>
        <v>120.68895999999985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632.53945999999917</v>
      </c>
      <c r="Q29" s="282">
        <f t="shared" si="3"/>
        <v>631.46187999999916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627.15155999999922</v>
      </c>
      <c r="U29" s="282">
        <f t="shared" si="3"/>
        <v>626.07397999999921</v>
      </c>
      <c r="V29" s="284">
        <f t="shared" si="3"/>
        <v>632.53945999999917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153.9363920750782</v>
      </c>
      <c r="C30" s="38">
        <f t="shared" ref="C30:V30" si="4">+(C25/C27)/7*1000</f>
        <v>153.92725355824987</v>
      </c>
      <c r="D30" s="38">
        <f t="shared" si="4"/>
        <v>153.94771587008188</v>
      </c>
      <c r="E30" s="38">
        <f t="shared" si="4"/>
        <v>153.86904761904762</v>
      </c>
      <c r="F30" s="38">
        <f t="shared" si="4"/>
        <v>153.93374741200824</v>
      </c>
      <c r="G30" s="38">
        <f t="shared" si="4"/>
        <v>153.92725355824987</v>
      </c>
      <c r="H30" s="39">
        <f t="shared" si="4"/>
        <v>153.77997914494264</v>
      </c>
      <c r="I30" s="37">
        <f t="shared" si="4"/>
        <v>153.93483709273184</v>
      </c>
      <c r="J30" s="38">
        <f t="shared" si="4"/>
        <v>153.93535652603012</v>
      </c>
      <c r="K30" s="38">
        <f t="shared" si="4"/>
        <v>153.93339768339766</v>
      </c>
      <c r="L30" s="38">
        <f t="shared" si="4"/>
        <v>153.95408163265304</v>
      </c>
      <c r="M30" s="38">
        <f t="shared" si="4"/>
        <v>153.94639783624294</v>
      </c>
      <c r="N30" s="38">
        <f t="shared" si="4"/>
        <v>153.9492930277913</v>
      </c>
      <c r="O30" s="39">
        <f t="shared" si="4"/>
        <v>153.93039669019223</v>
      </c>
      <c r="P30" s="37">
        <f t="shared" si="4"/>
        <v>153.93039669019223</v>
      </c>
      <c r="Q30" s="38">
        <f t="shared" si="4"/>
        <v>153.9492930277913</v>
      </c>
      <c r="R30" s="38">
        <f t="shared" si="4"/>
        <v>153.93535652603012</v>
      </c>
      <c r="S30" s="38">
        <f t="shared" si="4"/>
        <v>153.95604395604394</v>
      </c>
      <c r="T30" s="38">
        <f t="shared" si="4"/>
        <v>153.95189003436425</v>
      </c>
      <c r="U30" s="38">
        <f t="shared" si="4"/>
        <v>153.94639783624294</v>
      </c>
      <c r="V30" s="39">
        <f t="shared" si="4"/>
        <v>153.93039669019223</v>
      </c>
      <c r="W30" s="40"/>
    </row>
    <row r="31" spans="1:25" ht="33.75" customHeight="1" x14ac:dyDescent="0.25">
      <c r="A31" s="41"/>
      <c r="B31" s="645">
        <f t="shared" ref="B31:V32" si="5">B29-B25</f>
        <v>1.3839999999277097E-2</v>
      </c>
      <c r="C31" s="645">
        <f t="shared" si="5"/>
        <v>4.835999999932028E-2</v>
      </c>
      <c r="D31" s="645">
        <f t="shared" si="5"/>
        <v>-2.9220000000805157E-2</v>
      </c>
      <c r="E31" s="645">
        <f t="shared" si="5"/>
        <v>4.7679999999857614E-2</v>
      </c>
      <c r="F31" s="645">
        <f t="shared" si="5"/>
        <v>2.4159999999255888E-2</v>
      </c>
      <c r="G31" s="645">
        <f t="shared" si="5"/>
        <v>4.835999999932028E-2</v>
      </c>
      <c r="H31" s="645">
        <f t="shared" si="5"/>
        <v>0.61383999999918615</v>
      </c>
      <c r="I31" s="645">
        <f t="shared" si="5"/>
        <v>2.0599999999149077E-2</v>
      </c>
      <c r="J31" s="645">
        <f t="shared" si="5"/>
        <v>1.8819999999095671E-2</v>
      </c>
      <c r="K31" s="645">
        <f t="shared" si="5"/>
        <v>2.735999999924843E-2</v>
      </c>
      <c r="L31" s="645">
        <f t="shared" si="5"/>
        <v>-1.1040000000136274E-2</v>
      </c>
      <c r="M31" s="645">
        <f t="shared" si="5"/>
        <v>-2.6020000000812615E-2</v>
      </c>
      <c r="N31" s="645">
        <f t="shared" si="5"/>
        <v>-3.8120000000844811E-2</v>
      </c>
      <c r="O31" s="645">
        <f t="shared" si="5"/>
        <v>3.9459999999166939E-2</v>
      </c>
      <c r="P31" s="645">
        <f t="shared" si="5"/>
        <v>3.9459999999166939E-2</v>
      </c>
      <c r="Q31" s="645">
        <f t="shared" si="5"/>
        <v>-3.8120000000844811E-2</v>
      </c>
      <c r="R31" s="645">
        <f t="shared" si="5"/>
        <v>1.8819999999095671E-2</v>
      </c>
      <c r="S31" s="645">
        <f t="shared" si="5"/>
        <v>-1.4600000000172031E-2</v>
      </c>
      <c r="T31" s="645">
        <f t="shared" si="5"/>
        <v>-4.8440000000709915E-2</v>
      </c>
      <c r="U31" s="645">
        <f t="shared" si="5"/>
        <v>-2.6020000000812615E-2</v>
      </c>
      <c r="V31" s="645">
        <f t="shared" si="5"/>
        <v>3.9459999999166939E-2</v>
      </c>
      <c r="W31" s="42"/>
      <c r="X31" s="42"/>
    </row>
    <row r="32" spans="1:25" ht="33.75" customHeight="1" x14ac:dyDescent="0.25">
      <c r="A32" s="41"/>
      <c r="B32" s="42">
        <f>B30-B26</f>
        <v>-3.6079249215958953E-3</v>
      </c>
      <c r="C32" s="42">
        <f t="shared" si="5"/>
        <v>-1.2746441749925452E-2</v>
      </c>
      <c r="D32" s="42">
        <f t="shared" si="5"/>
        <v>7.7158700820803006E-3</v>
      </c>
      <c r="E32" s="42">
        <f t="shared" si="5"/>
        <v>-7.0952380952178373E-2</v>
      </c>
      <c r="F32" s="42">
        <f t="shared" si="5"/>
        <v>-6.2525879915540372E-3</v>
      </c>
      <c r="G32" s="42">
        <f t="shared" si="5"/>
        <v>-1.2746441749925452E-2</v>
      </c>
      <c r="H32" s="42">
        <f t="shared" si="5"/>
        <v>-0.16002085505715513</v>
      </c>
      <c r="I32" s="42">
        <f t="shared" si="5"/>
        <v>-5.1629072679588717E-3</v>
      </c>
      <c r="J32" s="42">
        <f t="shared" si="5"/>
        <v>-4.6434739696792349E-3</v>
      </c>
      <c r="K32" s="42">
        <f t="shared" si="5"/>
        <v>-6.6023166021409452E-3</v>
      </c>
      <c r="L32" s="42">
        <f t="shared" si="5"/>
        <v>1.4081632653244469E-2</v>
      </c>
      <c r="M32" s="42">
        <f t="shared" si="5"/>
        <v>6.3978362431384994E-3</v>
      </c>
      <c r="N32" s="42">
        <f t="shared" si="5"/>
        <v>9.293027791500208E-3</v>
      </c>
      <c r="O32" s="42">
        <f t="shared" si="5"/>
        <v>-9.6033098075736234E-3</v>
      </c>
      <c r="P32" s="42">
        <f t="shared" si="5"/>
        <v>-9.6033098075736234E-3</v>
      </c>
      <c r="Q32" s="42">
        <f>Q30-Q26</f>
        <v>9.293027791500208E-3</v>
      </c>
      <c r="R32" s="42">
        <f t="shared" si="5"/>
        <v>-4.6434739696792349E-3</v>
      </c>
      <c r="S32" s="42">
        <f t="shared" si="5"/>
        <v>1.6043956044143215E-2</v>
      </c>
      <c r="T32" s="42">
        <f t="shared" si="5"/>
        <v>1.189003436445546E-2</v>
      </c>
      <c r="U32" s="42">
        <f t="shared" si="5"/>
        <v>6.3978362431384994E-3</v>
      </c>
      <c r="V32" s="42">
        <f t="shared" si="5"/>
        <v>-9.6033098075736234E-3</v>
      </c>
      <c r="W32" s="42"/>
      <c r="X32" s="42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42"/>
      <c r="Y33" s="41"/>
    </row>
    <row r="34" spans="1:26" ht="33.75" customHeight="1" x14ac:dyDescent="0.25">
      <c r="A34" s="41"/>
      <c r="B34" s="42">
        <f>B33-B23</f>
        <v>0</v>
      </c>
      <c r="C34" s="758">
        <f t="shared" ref="C34:V34" si="6">C33-C23</f>
        <v>0</v>
      </c>
      <c r="D34" s="758">
        <f t="shared" si="6"/>
        <v>0</v>
      </c>
      <c r="E34" s="758">
        <f t="shared" si="6"/>
        <v>0</v>
      </c>
      <c r="F34" s="758">
        <f t="shared" si="6"/>
        <v>0</v>
      </c>
      <c r="G34" s="758">
        <f t="shared" si="6"/>
        <v>0</v>
      </c>
      <c r="H34" s="758">
        <f t="shared" si="6"/>
        <v>0.10000000000000853</v>
      </c>
      <c r="I34" s="758">
        <f t="shared" si="6"/>
        <v>0.29999999999999716</v>
      </c>
      <c r="J34" s="758">
        <f t="shared" si="6"/>
        <v>0</v>
      </c>
      <c r="K34" s="758">
        <f t="shared" si="6"/>
        <v>9.9999999999994316E-2</v>
      </c>
      <c r="L34" s="758">
        <f t="shared" si="6"/>
        <v>0</v>
      </c>
      <c r="M34" s="758">
        <f t="shared" si="6"/>
        <v>0</v>
      </c>
      <c r="N34" s="758">
        <f t="shared" si="6"/>
        <v>0</v>
      </c>
      <c r="O34" s="758">
        <f t="shared" si="6"/>
        <v>0</v>
      </c>
      <c r="P34" s="758">
        <f t="shared" si="6"/>
        <v>0</v>
      </c>
      <c r="Q34" s="758">
        <f t="shared" si="6"/>
        <v>0</v>
      </c>
      <c r="R34" s="758">
        <f t="shared" si="6"/>
        <v>0</v>
      </c>
      <c r="S34" s="758">
        <f t="shared" si="6"/>
        <v>0</v>
      </c>
      <c r="T34" s="758">
        <f t="shared" si="6"/>
        <v>0</v>
      </c>
      <c r="U34" s="758">
        <f t="shared" si="6"/>
        <v>0</v>
      </c>
      <c r="V34" s="758">
        <f t="shared" si="6"/>
        <v>0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2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133">
        <v>77.599999999999994</v>
      </c>
      <c r="C39" s="497">
        <v>74.099999999999994</v>
      </c>
      <c r="D39" s="722">
        <v>5.3</v>
      </c>
      <c r="E39" s="486">
        <v>82.6</v>
      </c>
      <c r="F39" s="497">
        <v>83.4</v>
      </c>
      <c r="G39" s="499">
        <v>84.8</v>
      </c>
      <c r="H39" s="641">
        <f t="shared" ref="H39:H46" si="7">SUM(B39:G39)</f>
        <v>407.8</v>
      </c>
      <c r="I39" s="49"/>
      <c r="J39" s="42"/>
      <c r="K39" s="42"/>
      <c r="L39" s="42"/>
      <c r="M39" s="2"/>
      <c r="N39" s="146" t="s">
        <v>51</v>
      </c>
      <c r="O39" s="281">
        <v>5.7</v>
      </c>
      <c r="P39" s="282">
        <v>5.8</v>
      </c>
      <c r="Q39" s="282">
        <v>0.6</v>
      </c>
      <c r="R39" s="282">
        <v>6.4</v>
      </c>
      <c r="S39" s="282">
        <v>6.4</v>
      </c>
      <c r="T39" s="284">
        <v>6.1</v>
      </c>
      <c r="U39" s="641">
        <f t="shared" ref="U39:U46" si="8">SUM(O39:T39)</f>
        <v>31</v>
      </c>
      <c r="V39" s="49"/>
      <c r="W39" s="48"/>
    </row>
    <row r="40" spans="1:26" ht="33.75" customHeight="1" x14ac:dyDescent="0.25">
      <c r="A40" s="146" t="s">
        <v>24</v>
      </c>
      <c r="B40" s="756">
        <v>77.599999999999994</v>
      </c>
      <c r="C40" s="497">
        <v>74.400000000000006</v>
      </c>
      <c r="D40" s="724">
        <v>5.3</v>
      </c>
      <c r="E40" s="600">
        <v>82.5</v>
      </c>
      <c r="F40" s="497">
        <v>83.4</v>
      </c>
      <c r="G40" s="498">
        <v>84.6</v>
      </c>
      <c r="H40" s="538">
        <f t="shared" si="7"/>
        <v>407.80000000000007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6.1</v>
      </c>
      <c r="U40" s="538">
        <f t="shared" si="8"/>
        <v>31</v>
      </c>
      <c r="V40" s="49"/>
      <c r="W40" s="48"/>
    </row>
    <row r="41" spans="1:26" ht="33.75" customHeight="1" x14ac:dyDescent="0.25">
      <c r="A41" s="146" t="s">
        <v>20</v>
      </c>
      <c r="B41" s="133">
        <v>77.099999999999994</v>
      </c>
      <c r="C41" s="497">
        <v>74.400000000000006</v>
      </c>
      <c r="D41" s="722">
        <v>5</v>
      </c>
      <c r="E41" s="497">
        <v>82.2</v>
      </c>
      <c r="F41" s="497">
        <v>83.4</v>
      </c>
      <c r="G41" s="757">
        <v>84.6</v>
      </c>
      <c r="H41" s="538">
        <f t="shared" si="7"/>
        <v>406.70000000000005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6.1</v>
      </c>
      <c r="U41" s="538">
        <f t="shared" si="8"/>
        <v>31.1</v>
      </c>
      <c r="V41" s="49"/>
      <c r="W41" s="48"/>
    </row>
    <row r="42" spans="1:26" ht="33.75" customHeight="1" x14ac:dyDescent="0.25">
      <c r="A42" s="146" t="s">
        <v>28</v>
      </c>
      <c r="B42" s="133">
        <v>77.099999999999994</v>
      </c>
      <c r="C42" s="497">
        <v>74.400000000000006</v>
      </c>
      <c r="D42" s="722">
        <v>5</v>
      </c>
      <c r="E42" s="497">
        <v>82.2</v>
      </c>
      <c r="F42" s="497">
        <v>83.4</v>
      </c>
      <c r="G42" s="499">
        <v>84.6</v>
      </c>
      <c r="H42" s="538">
        <f t="shared" si="7"/>
        <v>406.70000000000005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8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77.099999999999994</v>
      </c>
      <c r="C43" s="497">
        <v>74.400000000000006</v>
      </c>
      <c r="D43" s="722">
        <v>5</v>
      </c>
      <c r="E43" s="497">
        <v>82.2</v>
      </c>
      <c r="F43" s="497">
        <v>83.4</v>
      </c>
      <c r="G43" s="498">
        <v>84.5</v>
      </c>
      <c r="H43" s="538">
        <f t="shared" si="7"/>
        <v>406.6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6.2</v>
      </c>
      <c r="U43" s="538">
        <f t="shared" si="8"/>
        <v>31.2</v>
      </c>
      <c r="V43" s="49"/>
      <c r="W43" s="48"/>
    </row>
    <row r="44" spans="1:26" ht="33.75" customHeight="1" x14ac:dyDescent="0.25">
      <c r="A44" s="146" t="s">
        <v>22</v>
      </c>
      <c r="B44" s="485">
        <v>77.099999999999994</v>
      </c>
      <c r="C44" s="497">
        <v>74.400000000000006</v>
      </c>
      <c r="D44" s="722">
        <v>5.0999999999999996</v>
      </c>
      <c r="E44" s="497">
        <v>82.5</v>
      </c>
      <c r="F44" s="497">
        <v>83.4</v>
      </c>
      <c r="G44" s="499">
        <v>84.5</v>
      </c>
      <c r="H44" s="538">
        <f t="shared" si="7"/>
        <v>407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5.9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31.3</v>
      </c>
      <c r="V44" s="49"/>
      <c r="W44" s="48"/>
    </row>
    <row r="45" spans="1:26" ht="33.75" customHeight="1" thickBot="1" x14ac:dyDescent="0.3">
      <c r="A45" s="146" t="s">
        <v>23</v>
      </c>
      <c r="B45" s="599">
        <v>76.599999999999994</v>
      </c>
      <c r="C45" s="486">
        <v>75.900000000000006</v>
      </c>
      <c r="D45" s="720">
        <v>6.7</v>
      </c>
      <c r="E45" s="497">
        <v>84.5</v>
      </c>
      <c r="F45" s="497">
        <v>84.7</v>
      </c>
      <c r="G45" s="498">
        <v>84</v>
      </c>
      <c r="H45" s="723">
        <f t="shared" si="7"/>
        <v>412.4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5.9</v>
      </c>
      <c r="Q45" s="282">
        <v>0.5</v>
      </c>
      <c r="R45" s="282">
        <v>6.5</v>
      </c>
      <c r="S45" s="282">
        <v>6.5</v>
      </c>
      <c r="T45" s="284">
        <v>6.2</v>
      </c>
      <c r="U45" s="538">
        <f t="shared" si="8"/>
        <v>31.4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540.20000000000005</v>
      </c>
      <c r="C46" s="706">
        <f t="shared" si="9"/>
        <v>522</v>
      </c>
      <c r="D46" s="706">
        <f>SUM(D39:D45)</f>
        <v>37.400000000000006</v>
      </c>
      <c r="E46" s="706">
        <f t="shared" si="9"/>
        <v>578.70000000000005</v>
      </c>
      <c r="F46" s="706">
        <f t="shared" si="9"/>
        <v>585.1</v>
      </c>
      <c r="G46" s="707">
        <f t="shared" si="9"/>
        <v>591.59999999999991</v>
      </c>
      <c r="H46" s="560">
        <f t="shared" si="7"/>
        <v>2855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152.81271744366538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505</v>
      </c>
      <c r="C48" s="27">
        <v>488</v>
      </c>
      <c r="D48" s="27">
        <v>35</v>
      </c>
      <c r="E48" s="27">
        <v>541</v>
      </c>
      <c r="F48" s="27">
        <v>547</v>
      </c>
      <c r="G48" s="28">
        <v>553</v>
      </c>
      <c r="H48" s="129">
        <f>SUM(B48:G48)</f>
        <v>2669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77.103116666666651</v>
      </c>
      <c r="C49" s="31">
        <f t="shared" ref="C49:G49" si="11">((((C47*7)*C48)/1000-C39)/6)</f>
        <v>74.655519999999981</v>
      </c>
      <c r="D49" s="31">
        <f t="shared" si="11"/>
        <v>5.356816666666667</v>
      </c>
      <c r="E49" s="31">
        <f t="shared" si="11"/>
        <v>82.688223333333326</v>
      </c>
      <c r="F49" s="31">
        <f t="shared" si="11"/>
        <v>83.62463000000001</v>
      </c>
      <c r="G49" s="32">
        <f t="shared" si="11"/>
        <v>84.461036666666658</v>
      </c>
      <c r="H49" s="130">
        <f>((H46*1000)/H48)/7</f>
        <v>152.81271744366538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6.4231000000000007</v>
      </c>
      <c r="S49" s="30">
        <f t="shared" si="12"/>
        <v>6.4231000000000007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540.2186999999999</v>
      </c>
      <c r="C50" s="282">
        <f t="shared" ref="C50:G50" si="13">((C48*C47)*7)/1000</f>
        <v>522.03311999999994</v>
      </c>
      <c r="D50" s="282">
        <f t="shared" si="13"/>
        <v>37.440899999999999</v>
      </c>
      <c r="E50" s="282">
        <f t="shared" si="13"/>
        <v>578.72933999999998</v>
      </c>
      <c r="F50" s="282">
        <f t="shared" si="13"/>
        <v>585.1477799999999</v>
      </c>
      <c r="G50" s="284">
        <f t="shared" si="13"/>
        <v>591.56621999999993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152.81471004243284</v>
      </c>
      <c r="C51" s="38">
        <f t="shared" si="15"/>
        <v>152.81030444964873</v>
      </c>
      <c r="D51" s="38">
        <f t="shared" si="15"/>
        <v>152.65306122448982</v>
      </c>
      <c r="E51" s="38">
        <f t="shared" si="15"/>
        <v>152.81225244256672</v>
      </c>
      <c r="F51" s="38">
        <f t="shared" si="15"/>
        <v>152.80752154609559</v>
      </c>
      <c r="G51" s="39">
        <f t="shared" si="15"/>
        <v>152.82872642727978</v>
      </c>
      <c r="H51" s="131"/>
      <c r="I51" s="45"/>
      <c r="J51" s="45"/>
      <c r="K51" s="54" t="s">
        <v>133</v>
      </c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1.8699999999853389E-2</v>
      </c>
      <c r="C52" s="645">
        <f t="shared" si="17"/>
        <v>3.3119999999939864E-2</v>
      </c>
      <c r="D52" s="645">
        <f t="shared" si="17"/>
        <v>4.0899999999993497E-2</v>
      </c>
      <c r="E52" s="645">
        <f t="shared" si="17"/>
        <v>2.9339999999933752E-2</v>
      </c>
      <c r="F52" s="645">
        <f t="shared" si="17"/>
        <v>4.7779999999875145E-2</v>
      </c>
      <c r="G52" s="645">
        <f t="shared" si="17"/>
        <v>-3.3779999999978827E-2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-5.2899575671574439E-3</v>
      </c>
      <c r="C53" s="42">
        <f t="shared" si="17"/>
        <v>-9.6955503512674568E-3</v>
      </c>
      <c r="D53" s="42">
        <f t="shared" si="17"/>
        <v>-0.16693877551017522</v>
      </c>
      <c r="E53" s="42">
        <f t="shared" si="17"/>
        <v>-7.7475574332765973E-3</v>
      </c>
      <c r="F53" s="42">
        <f t="shared" si="17"/>
        <v>-1.2478453904407161E-2</v>
      </c>
      <c r="G53" s="42">
        <f t="shared" si="17"/>
        <v>8.726427279782456E-3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41"/>
      <c r="C54" s="41"/>
      <c r="D54" s="41"/>
      <c r="E54" s="41"/>
      <c r="F54" s="41"/>
      <c r="G54" s="41"/>
      <c r="H54" s="41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5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6.6</v>
      </c>
      <c r="D60" s="497">
        <v>6.7</v>
      </c>
      <c r="E60" s="668">
        <v>1.3</v>
      </c>
      <c r="F60" s="668">
        <v>6.9</v>
      </c>
      <c r="G60" s="497">
        <v>7</v>
      </c>
      <c r="H60" s="498">
        <v>7</v>
      </c>
      <c r="I60" s="667">
        <v>7.1</v>
      </c>
      <c r="J60" s="668">
        <v>7.1</v>
      </c>
      <c r="K60" s="497">
        <v>7.2</v>
      </c>
      <c r="L60" s="668">
        <v>1.4</v>
      </c>
      <c r="M60" s="668">
        <v>7</v>
      </c>
      <c r="N60" s="668">
        <v>7.2</v>
      </c>
      <c r="O60" s="498">
        <v>6.9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7.2</v>
      </c>
      <c r="V60" s="669">
        <v>6.7</v>
      </c>
      <c r="W60" s="703">
        <f t="shared" ref="W60:W66" si="19">SUM(B60:V60)</f>
        <v>130.20000000000002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6.3</v>
      </c>
      <c r="D61" s="497">
        <v>6.7</v>
      </c>
      <c r="E61" s="497">
        <v>1.4</v>
      </c>
      <c r="F61" s="497">
        <v>6.8</v>
      </c>
      <c r="G61" s="497">
        <v>7</v>
      </c>
      <c r="H61" s="498">
        <v>7</v>
      </c>
      <c r="I61" s="133">
        <v>7</v>
      </c>
      <c r="J61" s="497">
        <v>7</v>
      </c>
      <c r="K61" s="497">
        <v>7.2</v>
      </c>
      <c r="L61" s="497">
        <v>1.4</v>
      </c>
      <c r="M61" s="497">
        <v>7</v>
      </c>
      <c r="N61" s="497">
        <v>7.1</v>
      </c>
      <c r="O61" s="498">
        <v>6.8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7.2</v>
      </c>
      <c r="V61" s="498">
        <v>6.7</v>
      </c>
      <c r="W61" s="703">
        <f t="shared" si="19"/>
        <v>129.29999999999998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6.4</v>
      </c>
      <c r="D62" s="497">
        <v>6.7</v>
      </c>
      <c r="E62" s="497">
        <v>1.4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1.4</v>
      </c>
      <c r="M62" s="497">
        <v>7</v>
      </c>
      <c r="N62" s="497">
        <v>7.1</v>
      </c>
      <c r="O62" s="498">
        <v>6.8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6.7</v>
      </c>
      <c r="W62" s="703">
        <f t="shared" si="19"/>
        <v>129.59999999999997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6.4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7.1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9"/>
        <v>129.89999999999998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6.4</v>
      </c>
      <c r="D64" s="497">
        <v>6.7</v>
      </c>
      <c r="E64" s="497">
        <v>1.5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1.5</v>
      </c>
      <c r="M64" s="497">
        <v>7.1</v>
      </c>
      <c r="N64" s="497">
        <v>7.2</v>
      </c>
      <c r="O64" s="498">
        <v>6.8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7.1</v>
      </c>
      <c r="V64" s="498">
        <v>6.6</v>
      </c>
      <c r="W64" s="703">
        <f t="shared" si="19"/>
        <v>130.29999999999998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6.4</v>
      </c>
      <c r="D65" s="497">
        <v>6.7</v>
      </c>
      <c r="E65" s="497">
        <v>1.5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1.5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7.1</v>
      </c>
      <c r="V65" s="498">
        <v>6.6</v>
      </c>
      <c r="W65" s="703">
        <f t="shared" si="19"/>
        <v>130.5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497">
        <v>6.4</v>
      </c>
      <c r="D66" s="671">
        <v>6.8</v>
      </c>
      <c r="E66" s="497">
        <v>1.5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7.3</v>
      </c>
      <c r="L66" s="497">
        <v>1.5</v>
      </c>
      <c r="M66" s="671">
        <v>7.1</v>
      </c>
      <c r="N66" s="671">
        <v>7.2</v>
      </c>
      <c r="O66" s="498">
        <v>6.9</v>
      </c>
      <c r="P66" s="670">
        <v>7.2</v>
      </c>
      <c r="Q66" s="671">
        <v>7.2</v>
      </c>
      <c r="R66" s="671">
        <v>7.1</v>
      </c>
      <c r="S66" s="671">
        <v>1.6</v>
      </c>
      <c r="T66" s="671">
        <v>7.1</v>
      </c>
      <c r="U66" s="497">
        <v>7.1</v>
      </c>
      <c r="V66" s="498">
        <v>6.6</v>
      </c>
      <c r="W66" s="703">
        <f t="shared" si="19"/>
        <v>130.6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44.899999999999991</v>
      </c>
      <c r="D67" s="201">
        <f t="shared" ref="D67:V67" si="20">SUM(D60:D66)</f>
        <v>47</v>
      </c>
      <c r="E67" s="201">
        <f t="shared" si="20"/>
        <v>10.1</v>
      </c>
      <c r="F67" s="201">
        <f t="shared" si="20"/>
        <v>48.199999999999996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50.599999999999994</v>
      </c>
      <c r="L67" s="201">
        <f t="shared" si="20"/>
        <v>10.1</v>
      </c>
      <c r="M67" s="201">
        <f t="shared" si="20"/>
        <v>49.300000000000004</v>
      </c>
      <c r="N67" s="201">
        <f t="shared" si="20"/>
        <v>50.100000000000009</v>
      </c>
      <c r="O67" s="229">
        <f t="shared" si="20"/>
        <v>47.9</v>
      </c>
      <c r="P67" s="200">
        <f t="shared" si="20"/>
        <v>50.2</v>
      </c>
      <c r="Q67" s="201">
        <f t="shared" si="20"/>
        <v>50.2</v>
      </c>
      <c r="R67" s="201">
        <f t="shared" si="20"/>
        <v>49.300000000000004</v>
      </c>
      <c r="S67" s="201">
        <f t="shared" si="20"/>
        <v>11.2</v>
      </c>
      <c r="T67" s="201">
        <f t="shared" si="20"/>
        <v>49.300000000000004</v>
      </c>
      <c r="U67" s="201">
        <f t="shared" si="20"/>
        <v>49.900000000000006</v>
      </c>
      <c r="V67" s="229">
        <f t="shared" si="20"/>
        <v>46.6</v>
      </c>
      <c r="W67" s="326">
        <f>SUM(W60:W66)</f>
        <v>910.4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160.16889514426461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6.9020999999999999</v>
      </c>
      <c r="C70" s="30">
        <f t="shared" si="21"/>
        <v>6.4079999999999995</v>
      </c>
      <c r="D70" s="30">
        <f t="shared" si="21"/>
        <v>6.7279999999999989</v>
      </c>
      <c r="E70" s="30">
        <f t="shared" si="21"/>
        <v>1.4759999999999998</v>
      </c>
      <c r="F70" s="30">
        <f t="shared" si="21"/>
        <v>6.8920000000000003</v>
      </c>
      <c r="G70" s="30">
        <f t="shared" si="21"/>
        <v>6.9944000000000006</v>
      </c>
      <c r="H70" s="30">
        <f t="shared" si="21"/>
        <v>6.9944000000000006</v>
      </c>
      <c r="I70" s="30">
        <f t="shared" si="21"/>
        <v>7.0975999999999999</v>
      </c>
      <c r="J70" s="30">
        <f t="shared" si="21"/>
        <v>7.0975999999999999</v>
      </c>
      <c r="K70" s="30">
        <f t="shared" si="21"/>
        <v>7.2314999999999987</v>
      </c>
      <c r="L70" s="30">
        <f t="shared" si="21"/>
        <v>1.4622999999999997</v>
      </c>
      <c r="M70" s="30">
        <f t="shared" si="21"/>
        <v>7.056</v>
      </c>
      <c r="N70" s="30">
        <f t="shared" si="21"/>
        <v>7.1569999999999991</v>
      </c>
      <c r="O70" s="30">
        <f t="shared" si="21"/>
        <v>6.8318000000000012</v>
      </c>
      <c r="P70" s="30">
        <f t="shared" si="21"/>
        <v>7.1807999999999996</v>
      </c>
      <c r="Q70" s="30">
        <f t="shared" si="21"/>
        <v>7.1807999999999996</v>
      </c>
      <c r="R70" s="30">
        <f t="shared" si="21"/>
        <v>7.056</v>
      </c>
      <c r="S70" s="30">
        <f t="shared" si="21"/>
        <v>1.6</v>
      </c>
      <c r="T70" s="30">
        <f t="shared" si="21"/>
        <v>7.056</v>
      </c>
      <c r="U70" s="30">
        <f t="shared" si="21"/>
        <v>7.1054999999999993</v>
      </c>
      <c r="V70" s="30">
        <f t="shared" si="21"/>
        <v>6.6397999999999984</v>
      </c>
      <c r="W70" s="329">
        <f>((W67*1000)/7)/W69</f>
        <v>160.16889514426461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2">((D69*D68)*7)/1000</f>
        <v>47.04</v>
      </c>
      <c r="E71" s="282">
        <f t="shared" si="22"/>
        <v>10.08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10.111499999999999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47.859000000000002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160.35714285714283</v>
      </c>
      <c r="D72" s="38">
        <f t="shared" si="23"/>
        <v>159.8639455782313</v>
      </c>
      <c r="E72" s="38">
        <f>+(E67/E69)/7*1000</f>
        <v>160.31746031746033</v>
      </c>
      <c r="F72" s="38">
        <f t="shared" si="23"/>
        <v>160.13289036544847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160.63492063492063</v>
      </c>
      <c r="L72" s="38">
        <f t="shared" si="23"/>
        <v>160.31746031746033</v>
      </c>
      <c r="M72" s="38">
        <f t="shared" si="23"/>
        <v>160.06493506493507</v>
      </c>
      <c r="N72" s="38">
        <f t="shared" si="23"/>
        <v>159.04761904761907</v>
      </c>
      <c r="O72" s="158">
        <f t="shared" si="23"/>
        <v>159.13621262458472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160.06493506493507</v>
      </c>
      <c r="S72" s="38">
        <f t="shared" si="23"/>
        <v>159.99999999999997</v>
      </c>
      <c r="T72" s="38">
        <f t="shared" si="23"/>
        <v>160.06493506493507</v>
      </c>
      <c r="U72" s="38">
        <f t="shared" si="23"/>
        <v>158.41269841269843</v>
      </c>
      <c r="V72" s="158">
        <f t="shared" si="23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4.0000000000006253E-2</v>
      </c>
      <c r="D73" s="645">
        <f t="shared" si="24"/>
        <v>3.9999999999999147E-2</v>
      </c>
      <c r="E73" s="645">
        <f t="shared" si="24"/>
        <v>-1.9999999999999574E-2</v>
      </c>
      <c r="F73" s="645">
        <f t="shared" si="24"/>
        <v>-3.9999999999999147E-2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-4.2499999999996874E-2</v>
      </c>
      <c r="L73" s="645">
        <f t="shared" si="24"/>
        <v>1.1499999999999844E-2</v>
      </c>
      <c r="M73" s="645">
        <f t="shared" si="24"/>
        <v>-2.0000000000003126E-2</v>
      </c>
      <c r="N73" s="645">
        <f t="shared" si="24"/>
        <v>-1.5000000000007674E-2</v>
      </c>
      <c r="O73" s="645">
        <f t="shared" si="24"/>
        <v>-4.0999999999996817E-2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-2.0000000000003126E-2</v>
      </c>
      <c r="S73" s="645">
        <f t="shared" si="24"/>
        <v>0</v>
      </c>
      <c r="T73" s="645">
        <f t="shared" si="24"/>
        <v>-2.0000000000003126E-2</v>
      </c>
      <c r="U73" s="645">
        <f t="shared" si="24"/>
        <v>2.7499999999996305E-2</v>
      </c>
      <c r="V73" s="645">
        <f t="shared" si="24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-0.14285714285716722</v>
      </c>
      <c r="D74" s="42">
        <f t="shared" si="24"/>
        <v>-0.13605442176870497</v>
      </c>
      <c r="E74" s="42">
        <f t="shared" si="24"/>
        <v>0.31746031746033054</v>
      </c>
      <c r="F74" s="42">
        <f t="shared" si="24"/>
        <v>0.13289036544847477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0.13492063492063266</v>
      </c>
      <c r="L74" s="42">
        <f t="shared" si="24"/>
        <v>-0.18253968253966946</v>
      </c>
      <c r="M74" s="42">
        <f t="shared" si="24"/>
        <v>6.4935064935070841E-2</v>
      </c>
      <c r="N74" s="42">
        <f t="shared" si="24"/>
        <v>4.7619047619065213E-2</v>
      </c>
      <c r="O74" s="42">
        <f t="shared" si="24"/>
        <v>0.13621262458471506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6.4935064935070841E-2</v>
      </c>
      <c r="S74" s="42">
        <f t="shared" si="24"/>
        <v>0</v>
      </c>
      <c r="T74" s="42">
        <f t="shared" si="24"/>
        <v>6.4935064935070841E-2</v>
      </c>
      <c r="U74" s="42">
        <f t="shared" si="24"/>
        <v>-8.7301587301567452E-2</v>
      </c>
      <c r="V74" s="42">
        <f t="shared" si="24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80"/>
  <dimension ref="A1:Z239"/>
  <sheetViews>
    <sheetView topLeftCell="A49" zoomScale="30" zoomScaleNormal="30" workbookViewId="0">
      <selection activeCell="O55" sqref="O5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9" t="s">
        <v>0</v>
      </c>
      <c r="B3" s="1019"/>
      <c r="C3" s="1019"/>
      <c r="D3" s="760"/>
      <c r="E3" s="760"/>
      <c r="F3" s="760"/>
      <c r="G3" s="760"/>
      <c r="H3" s="760"/>
      <c r="I3" s="760"/>
      <c r="J3" s="760"/>
      <c r="K3" s="760"/>
      <c r="L3" s="760"/>
      <c r="M3" s="760"/>
      <c r="N3" s="760"/>
      <c r="O3" s="760"/>
      <c r="P3" s="760"/>
      <c r="Q3" s="760"/>
      <c r="R3" s="760"/>
      <c r="S3" s="760"/>
      <c r="T3" s="760"/>
      <c r="U3" s="760"/>
      <c r="V3" s="760"/>
      <c r="W3" s="760"/>
      <c r="X3" s="760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760" t="s">
        <v>1</v>
      </c>
      <c r="B9" s="760"/>
      <c r="C9" s="760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41"/>
    </row>
    <row r="10" spans="1:25" s="3" customFormat="1" ht="8.25" customHeight="1" x14ac:dyDescent="0.25">
      <c r="A10" s="760"/>
      <c r="B10" s="760"/>
      <c r="C10" s="76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760" t="s">
        <v>4</v>
      </c>
      <c r="B11" s="760"/>
      <c r="C11" s="760"/>
      <c r="D11" s="1"/>
      <c r="E11" s="761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/>
      <c r="Q11" s="1022"/>
      <c r="R11" s="762"/>
      <c r="S11" s="1" t="s">
        <v>6</v>
      </c>
      <c r="T11" s="95">
        <v>45777</v>
      </c>
      <c r="U11" s="95">
        <f>T11+6</f>
        <v>45783</v>
      </c>
      <c r="W11" s="762"/>
      <c r="X11" s="1"/>
      <c r="Y11" s="41"/>
    </row>
    <row r="12" spans="1:25" s="3" customFormat="1" ht="33" x14ac:dyDescent="0.25">
      <c r="A12" s="760"/>
      <c r="B12" s="760"/>
      <c r="C12" s="760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762"/>
      <c r="Q12" s="762"/>
      <c r="R12" s="762"/>
      <c r="S12" s="762"/>
      <c r="T12" s="1"/>
      <c r="U12" s="1"/>
      <c r="V12" s="1"/>
      <c r="W12" s="762"/>
      <c r="X12" s="1"/>
      <c r="Y12" s="41"/>
    </row>
    <row r="13" spans="1:25" s="3" customFormat="1" ht="33" x14ac:dyDescent="0.25">
      <c r="A13" s="760"/>
      <c r="B13" s="760"/>
      <c r="C13" s="760"/>
      <c r="D13" s="760"/>
      <c r="E13" s="760"/>
      <c r="F13" s="760"/>
      <c r="G13" s="760"/>
      <c r="H13" s="760"/>
      <c r="I13" s="760"/>
      <c r="J13" s="760"/>
      <c r="K13" s="760"/>
      <c r="L13" s="760"/>
      <c r="M13" s="760"/>
      <c r="N13" s="760"/>
      <c r="O13" s="760"/>
      <c r="P13" s="760"/>
      <c r="Q13" s="762"/>
      <c r="R13" s="762"/>
      <c r="S13" s="762"/>
      <c r="T13" s="762"/>
      <c r="U13" s="762"/>
      <c r="V13" s="762"/>
      <c r="W13" s="762"/>
      <c r="Y13" s="41"/>
    </row>
    <row r="14" spans="1:25" s="3" customFormat="1" ht="34.5" thickBot="1" x14ac:dyDescent="0.3">
      <c r="A14" s="760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>
        <v>1631.2000000000003</v>
      </c>
      <c r="Y17" s="696">
        <v>1</v>
      </c>
    </row>
    <row r="18" spans="1:25" ht="39.950000000000003" customHeight="1" x14ac:dyDescent="0.25">
      <c r="A18" s="146" t="s">
        <v>51</v>
      </c>
      <c r="B18" s="485">
        <v>84.1</v>
      </c>
      <c r="C18" s="486">
        <v>83.6</v>
      </c>
      <c r="D18" s="765">
        <v>82.3</v>
      </c>
      <c r="E18" s="486">
        <v>14</v>
      </c>
      <c r="F18" s="765">
        <v>85.3</v>
      </c>
      <c r="G18" s="765">
        <v>83.6</v>
      </c>
      <c r="H18" s="757">
        <v>82.2</v>
      </c>
      <c r="I18" s="766">
        <v>86.5</v>
      </c>
      <c r="J18" s="765">
        <v>89.1</v>
      </c>
      <c r="K18" s="765">
        <v>92</v>
      </c>
      <c r="L18" s="765">
        <v>17.100000000000001</v>
      </c>
      <c r="M18" s="765">
        <v>89.7</v>
      </c>
      <c r="N18" s="765">
        <v>90.3</v>
      </c>
      <c r="O18" s="486">
        <v>91</v>
      </c>
      <c r="P18" s="764">
        <v>91.2</v>
      </c>
      <c r="Q18" s="765">
        <v>90.2</v>
      </c>
      <c r="R18" s="765">
        <v>89.7</v>
      </c>
      <c r="S18" s="765">
        <v>20.6</v>
      </c>
      <c r="T18" s="765">
        <v>89.4</v>
      </c>
      <c r="U18" s="765">
        <v>89.1</v>
      </c>
      <c r="V18" s="757">
        <v>90.2</v>
      </c>
      <c r="W18" s="596">
        <f t="shared" ref="W18:W24" si="0">SUM(B18:V18)</f>
        <v>1631.2000000000003</v>
      </c>
      <c r="X18" s="616">
        <f>W18-W17</f>
        <v>0</v>
      </c>
      <c r="Y18" s="697">
        <v>2</v>
      </c>
    </row>
    <row r="19" spans="1:25" ht="39.950000000000003" customHeight="1" x14ac:dyDescent="0.25">
      <c r="A19" s="146" t="s">
        <v>24</v>
      </c>
      <c r="B19" s="764">
        <v>84.1</v>
      </c>
      <c r="C19" s="486">
        <v>83.3</v>
      </c>
      <c r="D19" s="765">
        <v>83.2</v>
      </c>
      <c r="E19" s="765">
        <v>14.5</v>
      </c>
      <c r="F19" s="765">
        <v>84.8</v>
      </c>
      <c r="G19" s="765">
        <v>83.1</v>
      </c>
      <c r="H19" s="757">
        <v>84.7</v>
      </c>
      <c r="I19" s="766">
        <v>87.8</v>
      </c>
      <c r="J19" s="765">
        <v>89.1</v>
      </c>
      <c r="K19" s="765">
        <v>90.9</v>
      </c>
      <c r="L19" s="765">
        <v>17.100000000000001</v>
      </c>
      <c r="M19" s="765">
        <v>89</v>
      </c>
      <c r="N19" s="765">
        <v>90</v>
      </c>
      <c r="O19" s="765">
        <v>89.9</v>
      </c>
      <c r="P19" s="764">
        <v>90</v>
      </c>
      <c r="Q19" s="765">
        <v>90.2</v>
      </c>
      <c r="R19" s="765">
        <v>88.9</v>
      </c>
      <c r="S19" s="765">
        <v>19.8</v>
      </c>
      <c r="T19" s="765">
        <v>89.4</v>
      </c>
      <c r="U19" s="765">
        <v>89.2</v>
      </c>
      <c r="V19" s="757">
        <v>90.2</v>
      </c>
      <c r="W19" s="538">
        <f t="shared" si="0"/>
        <v>1629.2000000000003</v>
      </c>
      <c r="X19" s="616">
        <f>W19-W18</f>
        <v>-2</v>
      </c>
      <c r="Y19" s="698">
        <v>3</v>
      </c>
    </row>
    <row r="20" spans="1:25" ht="39.75" customHeight="1" x14ac:dyDescent="0.25">
      <c r="A20" s="146" t="s">
        <v>20</v>
      </c>
      <c r="B20" s="764">
        <v>84.1</v>
      </c>
      <c r="C20" s="765">
        <v>83.2</v>
      </c>
      <c r="D20" s="765">
        <v>83.2</v>
      </c>
      <c r="E20" s="765">
        <v>14.5</v>
      </c>
      <c r="F20" s="765">
        <v>84.8</v>
      </c>
      <c r="G20" s="765">
        <v>83.1</v>
      </c>
      <c r="H20" s="757">
        <v>84.7</v>
      </c>
      <c r="I20" s="766">
        <v>87.8</v>
      </c>
      <c r="J20" s="486">
        <v>89.1</v>
      </c>
      <c r="K20" s="765">
        <v>90.9</v>
      </c>
      <c r="L20" s="765">
        <v>17.100000000000001</v>
      </c>
      <c r="M20" s="765">
        <v>89</v>
      </c>
      <c r="N20" s="765">
        <v>90</v>
      </c>
      <c r="O20" s="765">
        <v>89.9</v>
      </c>
      <c r="P20" s="764">
        <v>90</v>
      </c>
      <c r="Q20" s="765">
        <v>90.2</v>
      </c>
      <c r="R20" s="765">
        <v>88.9</v>
      </c>
      <c r="S20" s="765">
        <v>19.8</v>
      </c>
      <c r="T20" s="765">
        <v>89.4</v>
      </c>
      <c r="U20" s="765">
        <v>89.2</v>
      </c>
      <c r="V20" s="757">
        <v>90.2</v>
      </c>
      <c r="W20" s="538">
        <f t="shared" si="0"/>
        <v>1629.1000000000004</v>
      </c>
      <c r="X20" s="616">
        <f t="shared" ref="X20:X24" si="1">W20-W19</f>
        <v>-9.9999999999909051E-2</v>
      </c>
      <c r="Y20" s="699">
        <v>4</v>
      </c>
    </row>
    <row r="21" spans="1:25" ht="39.950000000000003" customHeight="1" x14ac:dyDescent="0.25">
      <c r="A21" s="774" t="s">
        <v>28</v>
      </c>
      <c r="B21" s="133">
        <v>84.3</v>
      </c>
      <c r="C21" s="497">
        <v>82.9</v>
      </c>
      <c r="D21" s="497">
        <v>83.6</v>
      </c>
      <c r="E21" s="497">
        <v>14.8</v>
      </c>
      <c r="F21" s="497">
        <v>85</v>
      </c>
      <c r="G21" s="497">
        <v>83.6</v>
      </c>
      <c r="H21" s="498">
        <v>84.7</v>
      </c>
      <c r="I21" s="126">
        <v>88</v>
      </c>
      <c r="J21" s="497">
        <v>88.9</v>
      </c>
      <c r="K21" s="497">
        <v>91</v>
      </c>
      <c r="L21" s="497">
        <v>17.100000000000001</v>
      </c>
      <c r="M21" s="497">
        <v>89.6</v>
      </c>
      <c r="N21" s="497">
        <v>90.3</v>
      </c>
      <c r="O21" s="497">
        <v>90.2</v>
      </c>
      <c r="P21" s="133">
        <v>90.3</v>
      </c>
      <c r="Q21" s="486">
        <v>89.9</v>
      </c>
      <c r="R21" s="497">
        <v>88.8</v>
      </c>
      <c r="S21" s="497">
        <v>20</v>
      </c>
      <c r="T21" s="497">
        <v>89.7</v>
      </c>
      <c r="U21" s="486">
        <v>89.6</v>
      </c>
      <c r="V21" s="498">
        <v>90.5</v>
      </c>
      <c r="W21" s="538">
        <f t="shared" si="0"/>
        <v>1632.8</v>
      </c>
      <c r="X21" s="616">
        <f t="shared" si="1"/>
        <v>3.6999999999995907</v>
      </c>
      <c r="Y21" s="700">
        <v>5</v>
      </c>
    </row>
    <row r="22" spans="1:25" ht="39.950000000000003" customHeight="1" x14ac:dyDescent="0.25">
      <c r="A22" s="146" t="s">
        <v>21</v>
      </c>
      <c r="B22" s="599">
        <v>84.3</v>
      </c>
      <c r="C22" s="497">
        <v>82.9</v>
      </c>
      <c r="D22" s="497">
        <v>83.6</v>
      </c>
      <c r="E22" s="600">
        <v>14.8</v>
      </c>
      <c r="F22" s="497">
        <v>85</v>
      </c>
      <c r="G22" s="497">
        <v>83.6</v>
      </c>
      <c r="H22" s="498">
        <v>84.7</v>
      </c>
      <c r="I22" s="456">
        <v>88</v>
      </c>
      <c r="J22" s="497">
        <v>88.9</v>
      </c>
      <c r="K22" s="497">
        <v>91</v>
      </c>
      <c r="L22" s="497">
        <v>17.100000000000001</v>
      </c>
      <c r="M22" s="497">
        <v>89.6</v>
      </c>
      <c r="N22" s="497">
        <v>90.3</v>
      </c>
      <c r="O22" s="497">
        <v>90.2</v>
      </c>
      <c r="P22" s="133">
        <v>90.3</v>
      </c>
      <c r="Q22" s="497">
        <v>89.8</v>
      </c>
      <c r="R22" s="497">
        <v>88.8</v>
      </c>
      <c r="S22" s="497">
        <v>20</v>
      </c>
      <c r="T22" s="497">
        <v>89.7</v>
      </c>
      <c r="U22" s="497">
        <v>89.5</v>
      </c>
      <c r="V22" s="498">
        <v>90.5</v>
      </c>
      <c r="W22" s="538">
        <f t="shared" si="0"/>
        <v>1632.6</v>
      </c>
      <c r="X22" s="616">
        <f t="shared" si="1"/>
        <v>-0.20000000000004547</v>
      </c>
      <c r="Y22" s="701">
        <v>6</v>
      </c>
    </row>
    <row r="23" spans="1:25" ht="39.950000000000003" customHeight="1" x14ac:dyDescent="0.25">
      <c r="A23" s="146" t="s">
        <v>22</v>
      </c>
      <c r="B23" s="133">
        <v>83.9</v>
      </c>
      <c r="C23" s="497">
        <v>82.9</v>
      </c>
      <c r="D23" s="497">
        <v>83.5</v>
      </c>
      <c r="E23" s="486">
        <v>14.5</v>
      </c>
      <c r="F23" s="497">
        <v>84.9</v>
      </c>
      <c r="G23" s="497">
        <v>83.5</v>
      </c>
      <c r="H23" s="499">
        <v>84.7</v>
      </c>
      <c r="I23" s="456">
        <v>87.9</v>
      </c>
      <c r="J23" s="497">
        <v>88.8</v>
      </c>
      <c r="K23" s="497">
        <v>91</v>
      </c>
      <c r="L23" s="486">
        <v>17</v>
      </c>
      <c r="M23" s="497">
        <v>89.6</v>
      </c>
      <c r="N23" s="486">
        <v>90.3</v>
      </c>
      <c r="O23" s="497">
        <v>90.1</v>
      </c>
      <c r="P23" s="133">
        <v>90.3</v>
      </c>
      <c r="Q23" s="497">
        <v>89.5</v>
      </c>
      <c r="R23" s="497">
        <v>88.8</v>
      </c>
      <c r="S23" s="486">
        <v>19.899999999999999</v>
      </c>
      <c r="T23" s="497">
        <v>89.7</v>
      </c>
      <c r="U23" s="497">
        <v>89.2</v>
      </c>
      <c r="V23" s="601">
        <v>90.4</v>
      </c>
      <c r="W23" s="538">
        <f t="shared" si="0"/>
        <v>1630.4</v>
      </c>
      <c r="X23" s="616">
        <f t="shared" si="1"/>
        <v>-2.1999999999998181</v>
      </c>
      <c r="Y23" s="702">
        <v>7</v>
      </c>
    </row>
    <row r="24" spans="1:25" ht="39.950000000000003" customHeight="1" thickBot="1" x14ac:dyDescent="0.3">
      <c r="A24" s="146" t="s">
        <v>23</v>
      </c>
      <c r="B24" s="485">
        <v>83.9</v>
      </c>
      <c r="C24" s="497">
        <v>82.9</v>
      </c>
      <c r="D24" s="486">
        <v>83.5</v>
      </c>
      <c r="E24" s="486">
        <v>14.4</v>
      </c>
      <c r="F24" s="497">
        <v>84.9</v>
      </c>
      <c r="G24" s="486">
        <v>83.5</v>
      </c>
      <c r="H24" s="498">
        <v>84.6</v>
      </c>
      <c r="I24" s="126">
        <v>87.8</v>
      </c>
      <c r="J24" s="486">
        <v>88.8</v>
      </c>
      <c r="K24" s="497">
        <v>91</v>
      </c>
      <c r="L24" s="497">
        <v>16.899999999999999</v>
      </c>
      <c r="M24" s="497">
        <v>89.6</v>
      </c>
      <c r="N24" s="753">
        <v>90.2</v>
      </c>
      <c r="O24" s="497">
        <v>90.1</v>
      </c>
      <c r="P24" s="133">
        <v>90.3</v>
      </c>
      <c r="Q24" s="600">
        <v>89.5</v>
      </c>
      <c r="R24" s="497">
        <v>88.8</v>
      </c>
      <c r="S24" s="486">
        <v>19.8</v>
      </c>
      <c r="T24" s="497">
        <v>89.7</v>
      </c>
      <c r="U24" s="497">
        <v>89.2</v>
      </c>
      <c r="V24" s="499">
        <v>90.1</v>
      </c>
      <c r="W24" s="538">
        <f t="shared" si="0"/>
        <v>1629.4999999999998</v>
      </c>
      <c r="X24" s="616">
        <f t="shared" si="1"/>
        <v>-0.90000000000031832</v>
      </c>
    </row>
    <row r="25" spans="1:25" ht="41.45" customHeight="1" x14ac:dyDescent="0.25">
      <c r="A25" s="182" t="s">
        <v>9</v>
      </c>
      <c r="B25" s="122">
        <f>SUM(B18:B24)</f>
        <v>588.69999999999993</v>
      </c>
      <c r="C25" s="120">
        <f>SUM(C18:C24)</f>
        <v>581.69999999999993</v>
      </c>
      <c r="D25" s="120">
        <f t="shared" ref="D25:V25" si="2">SUM(D18:D24)</f>
        <v>582.9</v>
      </c>
      <c r="E25" s="120">
        <f>SUM(E18:E24)</f>
        <v>101.5</v>
      </c>
      <c r="F25" s="120">
        <f t="shared" si="2"/>
        <v>594.69999999999993</v>
      </c>
      <c r="G25" s="120">
        <f t="shared" si="2"/>
        <v>584</v>
      </c>
      <c r="H25" s="121">
        <f t="shared" si="2"/>
        <v>590.29999999999995</v>
      </c>
      <c r="I25" s="122">
        <f t="shared" si="2"/>
        <v>613.79999999999995</v>
      </c>
      <c r="J25" s="120">
        <f t="shared" si="2"/>
        <v>622.69999999999982</v>
      </c>
      <c r="K25" s="120">
        <f t="shared" si="2"/>
        <v>637.79999999999995</v>
      </c>
      <c r="L25" s="120">
        <f t="shared" si="2"/>
        <v>119.4</v>
      </c>
      <c r="M25" s="120">
        <f t="shared" si="2"/>
        <v>626.1</v>
      </c>
      <c r="N25" s="120">
        <f t="shared" si="2"/>
        <v>631.40000000000009</v>
      </c>
      <c r="O25" s="121">
        <f t="shared" si="2"/>
        <v>631.4</v>
      </c>
      <c r="P25" s="122">
        <f t="shared" si="2"/>
        <v>632.4</v>
      </c>
      <c r="Q25" s="120">
        <f t="shared" si="2"/>
        <v>629.29999999999995</v>
      </c>
      <c r="R25" s="120">
        <f t="shared" si="2"/>
        <v>622.69999999999993</v>
      </c>
      <c r="S25" s="120">
        <f>SUM(S18:S24)</f>
        <v>139.9</v>
      </c>
      <c r="T25" s="120">
        <f t="shared" si="2"/>
        <v>627.00000000000011</v>
      </c>
      <c r="U25" s="120">
        <f t="shared" si="2"/>
        <v>625.00000000000011</v>
      </c>
      <c r="V25" s="121">
        <f t="shared" si="2"/>
        <v>632.1</v>
      </c>
      <c r="W25" s="361">
        <f>SUM(W18:W24)</f>
        <v>11414.800000000001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154.05627910115393</v>
      </c>
      <c r="Y26" s="41"/>
    </row>
    <row r="27" spans="1:25" s="2" customFormat="1" ht="33" customHeight="1" x14ac:dyDescent="0.25">
      <c r="A27" s="149" t="s">
        <v>12</v>
      </c>
      <c r="B27" s="26">
        <v>545</v>
      </c>
      <c r="C27" s="27">
        <v>540</v>
      </c>
      <c r="D27" s="27">
        <v>541</v>
      </c>
      <c r="E27" s="27">
        <v>92</v>
      </c>
      <c r="F27" s="27">
        <v>552</v>
      </c>
      <c r="G27" s="27">
        <v>542</v>
      </c>
      <c r="H27" s="28">
        <v>548</v>
      </c>
      <c r="I27" s="26">
        <v>568</v>
      </c>
      <c r="J27" s="27">
        <v>578</v>
      </c>
      <c r="K27" s="27">
        <v>592</v>
      </c>
      <c r="L27" s="27">
        <v>110</v>
      </c>
      <c r="M27" s="27">
        <v>581</v>
      </c>
      <c r="N27" s="27">
        <v>585</v>
      </c>
      <c r="O27" s="28">
        <v>586</v>
      </c>
      <c r="P27" s="26">
        <v>587</v>
      </c>
      <c r="Q27" s="27">
        <v>584</v>
      </c>
      <c r="R27" s="27">
        <v>578</v>
      </c>
      <c r="S27" s="27">
        <v>129</v>
      </c>
      <c r="T27" s="27">
        <v>582</v>
      </c>
      <c r="U27" s="27">
        <v>580</v>
      </c>
      <c r="V27" s="28">
        <v>585</v>
      </c>
      <c r="W27" s="29">
        <f>SUM(B27:V27)</f>
        <v>10585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83.863516666666513</v>
      </c>
      <c r="C28" s="30">
        <f t="shared" ref="C28:V28" si="3">((((C26*7)*C27)/1000-C18)/6)</f>
        <v>83.048866666666541</v>
      </c>
      <c r="D28" s="30">
        <f t="shared" si="3"/>
        <v>83.445129999999864</v>
      </c>
      <c r="E28" s="30">
        <f t="shared" si="3"/>
        <v>14.189559999999979</v>
      </c>
      <c r="F28" s="30">
        <f t="shared" si="3"/>
        <v>84.920693333333205</v>
      </c>
      <c r="G28" s="30">
        <f t="shared" si="3"/>
        <v>83.408059999999864</v>
      </c>
      <c r="H28" s="30">
        <f t="shared" si="3"/>
        <v>84.71897333333321</v>
      </c>
      <c r="I28" s="30">
        <f t="shared" si="3"/>
        <v>87.594239999999857</v>
      </c>
      <c r="J28" s="30">
        <f t="shared" si="3"/>
        <v>88.956873333333192</v>
      </c>
      <c r="K28" s="30">
        <f t="shared" si="3"/>
        <v>90.987893333333204</v>
      </c>
      <c r="L28" s="30">
        <f t="shared" si="3"/>
        <v>16.905633333333309</v>
      </c>
      <c r="M28" s="30">
        <f t="shared" si="3"/>
        <v>89.395663333333189</v>
      </c>
      <c r="N28" s="30">
        <f t="shared" si="3"/>
        <v>90.01404999999987</v>
      </c>
      <c r="O28" s="30">
        <f t="shared" si="3"/>
        <v>90.076979999999864</v>
      </c>
      <c r="P28" s="30">
        <f t="shared" si="3"/>
        <v>90.223243333333187</v>
      </c>
      <c r="Q28" s="30">
        <f t="shared" si="3"/>
        <v>89.851119999999852</v>
      </c>
      <c r="R28" s="30">
        <f t="shared" si="3"/>
        <v>88.856873333333183</v>
      </c>
      <c r="S28" s="30">
        <f t="shared" si="3"/>
        <v>19.734636666666635</v>
      </c>
      <c r="T28" s="30">
        <f t="shared" si="3"/>
        <v>89.625259999999855</v>
      </c>
      <c r="U28" s="30">
        <f t="shared" si="3"/>
        <v>89.316066666666529</v>
      </c>
      <c r="V28" s="30">
        <f t="shared" si="3"/>
        <v>90.030716666666521</v>
      </c>
      <c r="W28" s="362">
        <f>((W25*1000)/7)/W27</f>
        <v>154.05627910115396</v>
      </c>
      <c r="Y28" s="41"/>
    </row>
    <row r="29" spans="1:25" ht="33.75" customHeight="1" x14ac:dyDescent="0.25">
      <c r="A29" s="151" t="s">
        <v>14</v>
      </c>
      <c r="B29" s="281">
        <f>((B27*B26)*7)/1000</f>
        <v>587.28109999999913</v>
      </c>
      <c r="C29" s="282">
        <f>((C27*C26)*7)/1000</f>
        <v>581.8931999999993</v>
      </c>
      <c r="D29" s="282">
        <f t="shared" ref="D29:V29" si="4">((D27*D26)*7)/1000</f>
        <v>582.97077999999919</v>
      </c>
      <c r="E29" s="282">
        <f t="shared" si="4"/>
        <v>99.137359999999873</v>
      </c>
      <c r="F29" s="282">
        <f t="shared" si="4"/>
        <v>594.82415999999921</v>
      </c>
      <c r="G29" s="282">
        <f t="shared" si="4"/>
        <v>584.04835999999932</v>
      </c>
      <c r="H29" s="284">
        <f t="shared" si="4"/>
        <v>590.51383999999928</v>
      </c>
      <c r="I29" s="281">
        <f t="shared" si="4"/>
        <v>612.06543999999917</v>
      </c>
      <c r="J29" s="282">
        <f t="shared" si="4"/>
        <v>622.84123999999929</v>
      </c>
      <c r="K29" s="282">
        <f t="shared" si="4"/>
        <v>637.92735999999923</v>
      </c>
      <c r="L29" s="282">
        <f t="shared" si="4"/>
        <v>118.53379999999986</v>
      </c>
      <c r="M29" s="282">
        <f t="shared" si="4"/>
        <v>626.07397999999921</v>
      </c>
      <c r="N29" s="282">
        <f t="shared" si="4"/>
        <v>630.38429999999914</v>
      </c>
      <c r="O29" s="284">
        <f t="shared" si="4"/>
        <v>631.46187999999916</v>
      </c>
      <c r="P29" s="281">
        <f t="shared" si="4"/>
        <v>632.53945999999917</v>
      </c>
      <c r="Q29" s="282">
        <f t="shared" si="4"/>
        <v>629.30671999999913</v>
      </c>
      <c r="R29" s="282">
        <f t="shared" si="4"/>
        <v>622.84123999999929</v>
      </c>
      <c r="S29" s="282">
        <f t="shared" si="4"/>
        <v>139.00781999999981</v>
      </c>
      <c r="T29" s="282">
        <f t="shared" si="4"/>
        <v>627.15155999999922</v>
      </c>
      <c r="U29" s="282">
        <f t="shared" si="4"/>
        <v>624.9963999999992</v>
      </c>
      <c r="V29" s="284">
        <f t="shared" si="4"/>
        <v>630.38429999999914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154.31192660550457</v>
      </c>
      <c r="C30" s="38">
        <f t="shared" ref="C30:V30" si="5">+(C25/C27)/7*1000</f>
        <v>153.88888888888889</v>
      </c>
      <c r="D30" s="38">
        <f t="shared" si="5"/>
        <v>153.92130974386058</v>
      </c>
      <c r="E30" s="38">
        <f t="shared" si="5"/>
        <v>157.60869565217388</v>
      </c>
      <c r="F30" s="38">
        <f t="shared" si="5"/>
        <v>153.90786749482399</v>
      </c>
      <c r="G30" s="38">
        <f t="shared" si="5"/>
        <v>153.92725355824987</v>
      </c>
      <c r="H30" s="39">
        <f t="shared" si="5"/>
        <v>153.88425443169967</v>
      </c>
      <c r="I30" s="37">
        <f t="shared" si="5"/>
        <v>154.37625754527161</v>
      </c>
      <c r="J30" s="38">
        <f t="shared" si="5"/>
        <v>153.905091448344</v>
      </c>
      <c r="K30" s="38">
        <f t="shared" si="5"/>
        <v>153.90926640926642</v>
      </c>
      <c r="L30" s="38">
        <f t="shared" si="5"/>
        <v>155.06493506493507</v>
      </c>
      <c r="M30" s="38">
        <f t="shared" si="5"/>
        <v>153.94639783624294</v>
      </c>
      <c r="N30" s="38">
        <f t="shared" si="5"/>
        <v>154.18803418803421</v>
      </c>
      <c r="O30" s="39">
        <f t="shared" si="5"/>
        <v>153.92491467576792</v>
      </c>
      <c r="P30" s="37">
        <f t="shared" si="5"/>
        <v>153.90605986858114</v>
      </c>
      <c r="Q30" s="38">
        <f t="shared" si="5"/>
        <v>153.93835616438352</v>
      </c>
      <c r="R30" s="38">
        <f t="shared" si="5"/>
        <v>153.90509144834402</v>
      </c>
      <c r="S30" s="38">
        <f t="shared" si="5"/>
        <v>154.92801771871538</v>
      </c>
      <c r="T30" s="38">
        <f t="shared" si="5"/>
        <v>153.90279823269518</v>
      </c>
      <c r="U30" s="38">
        <f t="shared" si="5"/>
        <v>153.94088669950739</v>
      </c>
      <c r="V30" s="39">
        <f t="shared" si="5"/>
        <v>154.35897435897436</v>
      </c>
      <c r="W30" s="40"/>
    </row>
    <row r="31" spans="1:25" ht="33.75" customHeight="1" x14ac:dyDescent="0.25">
      <c r="A31" s="41"/>
      <c r="B31" s="645">
        <f t="shared" ref="B31:V32" si="6">B29-B25</f>
        <v>-1.4189000000008036</v>
      </c>
      <c r="C31" s="645">
        <f t="shared" si="6"/>
        <v>0.19319999999936499</v>
      </c>
      <c r="D31" s="645">
        <f t="shared" si="6"/>
        <v>7.077999999921758E-2</v>
      </c>
      <c r="E31" s="645">
        <f t="shared" si="6"/>
        <v>-2.3626400000001269</v>
      </c>
      <c r="F31" s="645">
        <f t="shared" si="6"/>
        <v>0.12415999999927863</v>
      </c>
      <c r="G31" s="645">
        <f t="shared" si="6"/>
        <v>4.835999999932028E-2</v>
      </c>
      <c r="H31" s="645">
        <f t="shared" si="6"/>
        <v>0.21383999999932257</v>
      </c>
      <c r="I31" s="645">
        <f t="shared" si="6"/>
        <v>-1.7345600000007835</v>
      </c>
      <c r="J31" s="645">
        <f t="shared" si="6"/>
        <v>0.14123999999947046</v>
      </c>
      <c r="K31" s="645">
        <f t="shared" si="6"/>
        <v>0.12735999999927117</v>
      </c>
      <c r="L31" s="645">
        <f t="shared" si="6"/>
        <v>-0.86620000000014841</v>
      </c>
      <c r="M31" s="645">
        <f t="shared" si="6"/>
        <v>-2.6020000000812615E-2</v>
      </c>
      <c r="N31" s="645">
        <f t="shared" si="6"/>
        <v>-1.0157000000009475</v>
      </c>
      <c r="O31" s="645">
        <f t="shared" si="6"/>
        <v>6.1879999999177926E-2</v>
      </c>
      <c r="P31" s="645">
        <f t="shared" si="6"/>
        <v>0.13945999999918968</v>
      </c>
      <c r="Q31" s="645">
        <f t="shared" si="6"/>
        <v>6.719999999177162E-3</v>
      </c>
      <c r="R31" s="645">
        <f t="shared" si="6"/>
        <v>0.14123999999935677</v>
      </c>
      <c r="S31" s="645">
        <f t="shared" si="6"/>
        <v>-0.89218000000019515</v>
      </c>
      <c r="T31" s="645">
        <f t="shared" si="6"/>
        <v>0.15155999999910819</v>
      </c>
      <c r="U31" s="645">
        <f t="shared" si="6"/>
        <v>-3.6000000009153155E-3</v>
      </c>
      <c r="V31" s="645">
        <f t="shared" si="6"/>
        <v>-1.7157000000008793</v>
      </c>
      <c r="W31" s="763"/>
      <c r="X31" s="763"/>
    </row>
    <row r="32" spans="1:25" ht="33.75" customHeight="1" x14ac:dyDescent="0.25">
      <c r="A32" s="41"/>
      <c r="B32" s="763">
        <f>B30-B26</f>
        <v>0.3719266055047683</v>
      </c>
      <c r="C32" s="763">
        <f t="shared" si="6"/>
        <v>-5.1111111110913043E-2</v>
      </c>
      <c r="D32" s="763">
        <f t="shared" si="6"/>
        <v>-1.8690256139223038E-2</v>
      </c>
      <c r="E32" s="763">
        <f t="shared" si="6"/>
        <v>3.6686956521740797</v>
      </c>
      <c r="F32" s="763">
        <f t="shared" si="6"/>
        <v>-3.2132505175809456E-2</v>
      </c>
      <c r="G32" s="763">
        <f t="shared" si="6"/>
        <v>-1.2746441749925452E-2</v>
      </c>
      <c r="H32" s="763">
        <f t="shared" si="6"/>
        <v>-5.5745568300125115E-2</v>
      </c>
      <c r="I32" s="763">
        <f t="shared" si="6"/>
        <v>0.43625754527181471</v>
      </c>
      <c r="J32" s="763">
        <f t="shared" si="6"/>
        <v>-3.4908551655803421E-2</v>
      </c>
      <c r="K32" s="763">
        <f t="shared" si="6"/>
        <v>-3.0733590733376559E-2</v>
      </c>
      <c r="L32" s="763">
        <f t="shared" si="6"/>
        <v>1.1249350649352721</v>
      </c>
      <c r="M32" s="763">
        <f t="shared" si="6"/>
        <v>6.3978362431384994E-3</v>
      </c>
      <c r="N32" s="763">
        <f t="shared" si="6"/>
        <v>0.24803418803440991</v>
      </c>
      <c r="O32" s="763">
        <f>O30-O26</f>
        <v>-1.5085324231876029E-2</v>
      </c>
      <c r="P32" s="763">
        <f t="shared" si="6"/>
        <v>-3.3940131418660258E-2</v>
      </c>
      <c r="Q32" s="763">
        <f>Q30-Q26</f>
        <v>-1.643835616278011E-3</v>
      </c>
      <c r="R32" s="763">
        <f t="shared" si="6"/>
        <v>-3.4908551655775E-2</v>
      </c>
      <c r="S32" s="763">
        <f t="shared" si="6"/>
        <v>0.9880177187155823</v>
      </c>
      <c r="T32" s="763">
        <f t="shared" si="6"/>
        <v>-3.720176730462299E-2</v>
      </c>
      <c r="U32" s="763">
        <f t="shared" si="6"/>
        <v>8.8669950758912819E-4</v>
      </c>
      <c r="V32" s="763">
        <f t="shared" si="6"/>
        <v>0.41897435897456603</v>
      </c>
      <c r="W32" s="763"/>
      <c r="X32" s="763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763"/>
      <c r="Y33" s="41"/>
    </row>
    <row r="34" spans="1:26" ht="33.75" customHeight="1" x14ac:dyDescent="0.25">
      <c r="A34" s="41"/>
      <c r="B34" s="763">
        <f>B33-B23</f>
        <v>9.9999999999994316E-2</v>
      </c>
      <c r="C34" s="763">
        <f t="shared" ref="C34:V34" si="7">C33-C23</f>
        <v>0.5</v>
      </c>
      <c r="D34" s="763">
        <f t="shared" si="7"/>
        <v>-1.5</v>
      </c>
      <c r="E34" s="763">
        <f t="shared" si="7"/>
        <v>0.40000000000000036</v>
      </c>
      <c r="F34" s="763">
        <f t="shared" si="7"/>
        <v>0</v>
      </c>
      <c r="G34" s="763">
        <f t="shared" si="7"/>
        <v>-9.9999999999994316E-2</v>
      </c>
      <c r="H34" s="763">
        <f t="shared" si="7"/>
        <v>-1</v>
      </c>
      <c r="I34" s="763">
        <f t="shared" si="7"/>
        <v>9.9999999999994316E-2</v>
      </c>
      <c r="J34" s="763">
        <f t="shared" si="7"/>
        <v>0.29999999999999716</v>
      </c>
      <c r="K34" s="763">
        <f t="shared" si="7"/>
        <v>0</v>
      </c>
      <c r="L34" s="763">
        <f t="shared" si="7"/>
        <v>0</v>
      </c>
      <c r="M34" s="763">
        <f t="shared" si="7"/>
        <v>-0.19999999999998863</v>
      </c>
      <c r="N34" s="763">
        <f t="shared" si="7"/>
        <v>-9.9999999999994316E-2</v>
      </c>
      <c r="O34" s="763">
        <f t="shared" si="7"/>
        <v>0.60000000000000853</v>
      </c>
      <c r="P34" s="763">
        <f t="shared" si="7"/>
        <v>-9.9999999999994316E-2</v>
      </c>
      <c r="Q34" s="763">
        <f t="shared" si="7"/>
        <v>0.59999999999999432</v>
      </c>
      <c r="R34" s="763">
        <f t="shared" si="7"/>
        <v>0.70000000000000284</v>
      </c>
      <c r="S34" s="763">
        <f t="shared" si="7"/>
        <v>0.60000000000000142</v>
      </c>
      <c r="T34" s="763">
        <f t="shared" si="7"/>
        <v>-0.40000000000000568</v>
      </c>
      <c r="U34" s="763">
        <f t="shared" si="7"/>
        <v>-0.10000000000000853</v>
      </c>
      <c r="V34" s="763">
        <f t="shared" si="7"/>
        <v>-0.30000000000001137</v>
      </c>
      <c r="W34" s="763"/>
      <c r="X34" s="41"/>
    </row>
    <row r="35" spans="1:26" ht="33.75" customHeight="1" x14ac:dyDescent="0.25">
      <c r="A35" s="41"/>
      <c r="B35" s="770">
        <f>B31/1</f>
        <v>-1.4189000000008036</v>
      </c>
      <c r="C35" s="770">
        <f t="shared" ref="C35:V35" si="8">C31/1</f>
        <v>0.19319999999936499</v>
      </c>
      <c r="D35" s="770">
        <f t="shared" si="8"/>
        <v>7.077999999921758E-2</v>
      </c>
      <c r="E35" s="770">
        <f t="shared" si="8"/>
        <v>-2.3626400000001269</v>
      </c>
      <c r="F35" s="770">
        <f t="shared" si="8"/>
        <v>0.12415999999927863</v>
      </c>
      <c r="G35" s="770">
        <f t="shared" si="8"/>
        <v>4.835999999932028E-2</v>
      </c>
      <c r="H35" s="770">
        <f t="shared" si="8"/>
        <v>0.21383999999932257</v>
      </c>
      <c r="I35" s="770">
        <f t="shared" si="8"/>
        <v>-1.7345600000007835</v>
      </c>
      <c r="J35" s="770">
        <f t="shared" si="8"/>
        <v>0.14123999999947046</v>
      </c>
      <c r="K35" s="770">
        <f t="shared" si="8"/>
        <v>0.12735999999927117</v>
      </c>
      <c r="L35" s="770">
        <f t="shared" si="8"/>
        <v>-0.86620000000014841</v>
      </c>
      <c r="M35" s="770">
        <f t="shared" si="8"/>
        <v>-2.6020000000812615E-2</v>
      </c>
      <c r="N35" s="770">
        <f t="shared" si="8"/>
        <v>-1.0157000000009475</v>
      </c>
      <c r="O35" s="770">
        <f t="shared" si="8"/>
        <v>6.1879999999177926E-2</v>
      </c>
      <c r="P35" s="770">
        <f t="shared" si="8"/>
        <v>0.13945999999918968</v>
      </c>
      <c r="Q35" s="770">
        <f t="shared" si="8"/>
        <v>6.719999999177162E-3</v>
      </c>
      <c r="R35" s="770">
        <f t="shared" si="8"/>
        <v>0.14123999999935677</v>
      </c>
      <c r="S35" s="770">
        <f t="shared" si="8"/>
        <v>-0.89218000000019515</v>
      </c>
      <c r="T35" s="770">
        <f t="shared" si="8"/>
        <v>0.15155999999910819</v>
      </c>
      <c r="U35" s="770">
        <f t="shared" si="8"/>
        <v>-3.6000000009153155E-3</v>
      </c>
      <c r="V35" s="770">
        <f t="shared" si="8"/>
        <v>-1.7157000000008793</v>
      </c>
      <c r="W35" s="308"/>
    </row>
    <row r="36" spans="1:26" ht="33.75" customHeight="1" x14ac:dyDescent="0.25">
      <c r="A36" s="41"/>
      <c r="B36" s="770">
        <f>B21+B35</f>
        <v>82.881099999999194</v>
      </c>
      <c r="C36" s="770">
        <f t="shared" ref="C36:V36" si="9">C21+C35</f>
        <v>83.093199999999371</v>
      </c>
      <c r="D36" s="770">
        <f t="shared" si="9"/>
        <v>83.670779999999212</v>
      </c>
      <c r="E36" s="770">
        <f t="shared" si="9"/>
        <v>12.437359999999874</v>
      </c>
      <c r="F36" s="770">
        <f t="shared" si="9"/>
        <v>85.124159999999279</v>
      </c>
      <c r="G36" s="770">
        <f t="shared" si="9"/>
        <v>83.648359999999315</v>
      </c>
      <c r="H36" s="770">
        <f t="shared" si="9"/>
        <v>84.913839999999325</v>
      </c>
      <c r="I36" s="770">
        <f t="shared" si="9"/>
        <v>86.265439999999217</v>
      </c>
      <c r="J36" s="770">
        <f t="shared" si="9"/>
        <v>89.041239999999476</v>
      </c>
      <c r="K36" s="770">
        <f t="shared" si="9"/>
        <v>91.127359999999271</v>
      </c>
      <c r="L36" s="770">
        <f t="shared" si="9"/>
        <v>16.233799999999853</v>
      </c>
      <c r="M36" s="770">
        <f t="shared" si="9"/>
        <v>89.573979999999182</v>
      </c>
      <c r="N36" s="770">
        <f t="shared" si="9"/>
        <v>89.28429999999905</v>
      </c>
      <c r="O36" s="770">
        <f t="shared" si="9"/>
        <v>90.261879999999181</v>
      </c>
      <c r="P36" s="770">
        <f t="shared" si="9"/>
        <v>90.439459999999187</v>
      </c>
      <c r="Q36" s="770">
        <f t="shared" si="9"/>
        <v>89.906719999999183</v>
      </c>
      <c r="R36" s="770">
        <f t="shared" si="9"/>
        <v>88.941239999999354</v>
      </c>
      <c r="S36" s="770">
        <f t="shared" si="9"/>
        <v>19.107819999999805</v>
      </c>
      <c r="T36" s="770">
        <f t="shared" si="9"/>
        <v>89.851559999999111</v>
      </c>
      <c r="U36" s="770">
        <f t="shared" si="9"/>
        <v>89.596399999999079</v>
      </c>
      <c r="V36" s="770">
        <f t="shared" si="9"/>
        <v>88.784299999999121</v>
      </c>
      <c r="W36" s="308"/>
    </row>
    <row r="37" spans="1:26" ht="33.75" customHeight="1" thickBot="1" x14ac:dyDescent="0.3">
      <c r="A37" s="41"/>
      <c r="B37" s="308"/>
      <c r="C37" s="308"/>
      <c r="D37" s="308"/>
      <c r="E37" s="308"/>
      <c r="F37" s="308"/>
      <c r="G37" s="308"/>
      <c r="H37" s="308"/>
      <c r="I37" s="308"/>
      <c r="J37" s="308"/>
      <c r="K37" s="308"/>
      <c r="L37" s="308"/>
      <c r="M37" s="308"/>
      <c r="N37" s="308"/>
      <c r="O37" s="308"/>
      <c r="P37" s="308"/>
      <c r="Q37" s="308"/>
      <c r="R37" s="308"/>
      <c r="S37" s="308"/>
      <c r="T37" s="308"/>
      <c r="U37" s="308"/>
      <c r="V37" s="308"/>
      <c r="W37" s="308"/>
    </row>
    <row r="38" spans="1:26" ht="33.75" customHeight="1" thickBot="1" x14ac:dyDescent="0.3">
      <c r="A38" s="179" t="s">
        <v>16</v>
      </c>
      <c r="B38" s="1031" t="s">
        <v>8</v>
      </c>
      <c r="C38" s="1032"/>
      <c r="D38" s="1032"/>
      <c r="E38" s="1032"/>
      <c r="F38" s="1032"/>
      <c r="G38" s="1032"/>
      <c r="H38" s="481"/>
      <c r="I38" s="244"/>
      <c r="J38" s="763"/>
      <c r="K38" s="763"/>
      <c r="L38" s="763"/>
      <c r="M38" s="44"/>
      <c r="N38" s="88" t="s">
        <v>18</v>
      </c>
      <c r="O38" s="1031" t="s">
        <v>8</v>
      </c>
      <c r="P38" s="1032"/>
      <c r="Q38" s="1032"/>
      <c r="R38" s="1032"/>
      <c r="S38" s="1032"/>
      <c r="T38" s="1032"/>
      <c r="U38" s="480"/>
      <c r="V38" s="45"/>
      <c r="W38" s="3"/>
    </row>
    <row r="39" spans="1:26" ht="33.75" customHeight="1" thickBot="1" x14ac:dyDescent="0.3">
      <c r="A39" s="214" t="s">
        <v>34</v>
      </c>
      <c r="B39" s="169"/>
      <c r="C39" s="161"/>
      <c r="D39" s="161"/>
      <c r="E39" s="161"/>
      <c r="F39" s="161"/>
      <c r="G39" s="161"/>
      <c r="H39" s="261" t="s">
        <v>9</v>
      </c>
      <c r="I39" s="47"/>
      <c r="J39" s="763"/>
      <c r="K39" s="763"/>
      <c r="L39" s="763"/>
      <c r="M39" s="223"/>
      <c r="N39" s="102" t="s">
        <v>33</v>
      </c>
      <c r="O39" s="186"/>
      <c r="P39" s="187"/>
      <c r="Q39" s="187"/>
      <c r="R39" s="187"/>
      <c r="S39" s="187"/>
      <c r="T39" s="187"/>
      <c r="U39" s="359" t="s">
        <v>9</v>
      </c>
      <c r="V39" s="47"/>
      <c r="W39" s="46"/>
    </row>
    <row r="40" spans="1:26" ht="33.75" customHeight="1" thickBot="1" x14ac:dyDescent="0.3">
      <c r="A40" s="213" t="s">
        <v>10</v>
      </c>
      <c r="B40" s="186">
        <v>1</v>
      </c>
      <c r="C40" s="184">
        <v>2</v>
      </c>
      <c r="D40" s="184">
        <v>3</v>
      </c>
      <c r="E40" s="184">
        <v>4</v>
      </c>
      <c r="F40" s="184">
        <v>5</v>
      </c>
      <c r="G40" s="184">
        <v>6</v>
      </c>
      <c r="H40" s="261">
        <v>412.4</v>
      </c>
      <c r="I40" s="47"/>
      <c r="J40" s="763"/>
      <c r="K40" s="763"/>
      <c r="L40" s="763"/>
      <c r="M40" s="2"/>
      <c r="N40" s="145" t="s">
        <v>10</v>
      </c>
      <c r="O40" s="132">
        <v>1</v>
      </c>
      <c r="P40" s="139">
        <v>2</v>
      </c>
      <c r="Q40" s="139">
        <v>3</v>
      </c>
      <c r="R40" s="139">
        <v>4</v>
      </c>
      <c r="S40" s="139">
        <v>5</v>
      </c>
      <c r="T40" s="140">
        <v>6</v>
      </c>
      <c r="U40" s="359">
        <v>31.4</v>
      </c>
      <c r="V40" s="47"/>
      <c r="W40" s="48"/>
    </row>
    <row r="41" spans="1:26" ht="33.75" customHeight="1" x14ac:dyDescent="0.25">
      <c r="A41" s="146" t="s">
        <v>51</v>
      </c>
      <c r="B41" s="764">
        <v>76.599999999999994</v>
      </c>
      <c r="C41" s="765">
        <v>75.900000000000006</v>
      </c>
      <c r="D41" s="767">
        <v>6.7</v>
      </c>
      <c r="E41" s="765">
        <v>84.5</v>
      </c>
      <c r="F41" s="765">
        <v>84.7</v>
      </c>
      <c r="G41" s="757">
        <v>84</v>
      </c>
      <c r="H41" s="641">
        <f t="shared" ref="H41:H48" si="10">SUM(B41:G41)</f>
        <v>412.4</v>
      </c>
      <c r="I41" s="616">
        <f>H41-H40</f>
        <v>0</v>
      </c>
      <c r="J41" s="763"/>
      <c r="K41" s="763"/>
      <c r="L41" s="763"/>
      <c r="M41" s="2"/>
      <c r="N41" s="146" t="s">
        <v>51</v>
      </c>
      <c r="O41" s="281">
        <v>5.8</v>
      </c>
      <c r="P41" s="282">
        <v>5.9</v>
      </c>
      <c r="Q41" s="282">
        <v>0.5</v>
      </c>
      <c r="R41" s="282">
        <v>6.5</v>
      </c>
      <c r="S41" s="282">
        <v>6.5</v>
      </c>
      <c r="T41" s="284">
        <v>6.2</v>
      </c>
      <c r="U41" s="641">
        <f t="shared" ref="U41:U48" si="11">SUM(O41:T41)</f>
        <v>31.4</v>
      </c>
      <c r="V41" s="616">
        <f>U41-U40</f>
        <v>0</v>
      </c>
      <c r="W41" s="48"/>
    </row>
    <row r="42" spans="1:26" ht="33.75" customHeight="1" x14ac:dyDescent="0.25">
      <c r="A42" s="146" t="s">
        <v>24</v>
      </c>
      <c r="B42" s="599">
        <v>76.8</v>
      </c>
      <c r="C42" s="765">
        <v>74.099999999999994</v>
      </c>
      <c r="D42" s="767">
        <v>5</v>
      </c>
      <c r="E42" s="765">
        <v>82</v>
      </c>
      <c r="F42" s="765">
        <v>83.3</v>
      </c>
      <c r="G42" s="757">
        <v>84.2</v>
      </c>
      <c r="H42" s="538">
        <f t="shared" si="10"/>
        <v>405.4</v>
      </c>
      <c r="I42" s="616">
        <f>H42-H41</f>
        <v>-7</v>
      </c>
      <c r="J42" s="763"/>
      <c r="K42" s="763"/>
      <c r="L42" s="763"/>
      <c r="M42" s="2"/>
      <c r="N42" s="146" t="s">
        <v>24</v>
      </c>
      <c r="O42" s="281">
        <v>5.7</v>
      </c>
      <c r="P42" s="486">
        <v>5.9</v>
      </c>
      <c r="Q42" s="282">
        <v>0.6</v>
      </c>
      <c r="R42" s="282">
        <v>6.4</v>
      </c>
      <c r="S42" s="282">
        <v>6.4</v>
      </c>
      <c r="T42" s="284">
        <v>6.2</v>
      </c>
      <c r="U42" s="538">
        <f t="shared" si="11"/>
        <v>31.2</v>
      </c>
      <c r="V42" s="616">
        <f>U42-U41</f>
        <v>-0.19999999999999929</v>
      </c>
      <c r="W42" s="48"/>
    </row>
    <row r="43" spans="1:26" ht="33.75" customHeight="1" x14ac:dyDescent="0.25">
      <c r="A43" s="146" t="s">
        <v>20</v>
      </c>
      <c r="B43" s="764">
        <v>76.5</v>
      </c>
      <c r="C43" s="765">
        <v>74.099999999999994</v>
      </c>
      <c r="D43" s="767">
        <v>5</v>
      </c>
      <c r="E43" s="765">
        <v>82</v>
      </c>
      <c r="F43" s="765">
        <v>83.3</v>
      </c>
      <c r="G43" s="757">
        <v>84.2</v>
      </c>
      <c r="H43" s="538">
        <f t="shared" si="10"/>
        <v>405.09999999999997</v>
      </c>
      <c r="I43" s="616">
        <f t="shared" ref="I43:I47" si="12">H43-H42</f>
        <v>-0.30000000000001137</v>
      </c>
      <c r="J43" s="196"/>
      <c r="K43" s="196"/>
      <c r="L43" s="196"/>
      <c r="M43" s="2"/>
      <c r="N43" s="146" t="s">
        <v>20</v>
      </c>
      <c r="O43" s="281">
        <v>5.7</v>
      </c>
      <c r="P43" s="282">
        <v>5.8</v>
      </c>
      <c r="Q43" s="282">
        <v>0.6</v>
      </c>
      <c r="R43" s="282">
        <v>6.4</v>
      </c>
      <c r="S43" s="282">
        <v>6.4</v>
      </c>
      <c r="T43" s="284">
        <v>6.2</v>
      </c>
      <c r="U43" s="538">
        <f t="shared" si="11"/>
        <v>31.099999999999998</v>
      </c>
      <c r="V43" s="616">
        <f t="shared" ref="V43:V47" si="13">U43-U42</f>
        <v>-0.10000000000000142</v>
      </c>
      <c r="W43" s="48"/>
    </row>
    <row r="44" spans="1:26" ht="33.75" customHeight="1" x14ac:dyDescent="0.25">
      <c r="A44" s="774" t="s">
        <v>28</v>
      </c>
      <c r="B44" s="133">
        <v>76.7</v>
      </c>
      <c r="C44" s="486">
        <v>74.5</v>
      </c>
      <c r="D44" s="720">
        <v>4.7</v>
      </c>
      <c r="E44" s="497">
        <v>82</v>
      </c>
      <c r="F44" s="497">
        <v>83.5</v>
      </c>
      <c r="G44" s="498">
        <v>84.8</v>
      </c>
      <c r="H44" s="538">
        <f t="shared" si="10"/>
        <v>406.2</v>
      </c>
      <c r="I44" s="769">
        <f t="shared" si="12"/>
        <v>1.1000000000000227</v>
      </c>
      <c r="J44" s="2"/>
      <c r="K44" s="2"/>
      <c r="L44" s="2"/>
      <c r="M44" s="2"/>
      <c r="N44" s="146" t="s">
        <v>28</v>
      </c>
      <c r="O44" s="281">
        <v>5.7</v>
      </c>
      <c r="P44" s="282">
        <v>5.7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11"/>
        <v>31.099999999999998</v>
      </c>
      <c r="V44" s="616">
        <f t="shared" si="13"/>
        <v>0</v>
      </c>
      <c r="W44" s="48"/>
    </row>
    <row r="45" spans="1:26" ht="33.75" customHeight="1" x14ac:dyDescent="0.25">
      <c r="A45" s="146" t="s">
        <v>21</v>
      </c>
      <c r="B45" s="133">
        <v>76.7</v>
      </c>
      <c r="C45" s="497">
        <v>74.400000000000006</v>
      </c>
      <c r="D45" s="720">
        <v>4.5999999999999996</v>
      </c>
      <c r="E45" s="497">
        <v>82</v>
      </c>
      <c r="F45" s="497">
        <v>83.5</v>
      </c>
      <c r="G45" s="498">
        <v>84.8</v>
      </c>
      <c r="H45" s="538">
        <f t="shared" si="10"/>
        <v>406.00000000000006</v>
      </c>
      <c r="I45" s="616">
        <f t="shared" si="12"/>
        <v>-0.19999999999993179</v>
      </c>
      <c r="J45" s="222"/>
      <c r="K45" s="222"/>
      <c r="L45" s="222"/>
      <c r="M45" s="2"/>
      <c r="N45" s="146" t="s">
        <v>21</v>
      </c>
      <c r="O45" s="281">
        <v>5.8</v>
      </c>
      <c r="P45" s="282">
        <v>5.7</v>
      </c>
      <c r="Q45" s="282">
        <v>0.7</v>
      </c>
      <c r="R45" s="282">
        <v>6.5</v>
      </c>
      <c r="S45" s="282">
        <v>6.5</v>
      </c>
      <c r="T45" s="284">
        <v>6.2</v>
      </c>
      <c r="U45" s="538">
        <f t="shared" si="11"/>
        <v>31.4</v>
      </c>
      <c r="V45" s="616">
        <f t="shared" si="13"/>
        <v>0.30000000000000071</v>
      </c>
      <c r="W45" s="48"/>
    </row>
    <row r="46" spans="1:26" ht="33.75" customHeight="1" x14ac:dyDescent="0.25">
      <c r="A46" s="146" t="s">
        <v>22</v>
      </c>
      <c r="B46" s="133">
        <v>76.7</v>
      </c>
      <c r="C46" s="497">
        <v>74</v>
      </c>
      <c r="D46" s="722">
        <v>4</v>
      </c>
      <c r="E46" s="497">
        <v>82</v>
      </c>
      <c r="F46" s="497">
        <v>83.4</v>
      </c>
      <c r="G46" s="498">
        <v>84.8</v>
      </c>
      <c r="H46" s="538">
        <f t="shared" si="10"/>
        <v>404.90000000000003</v>
      </c>
      <c r="I46" s="616">
        <f t="shared" si="12"/>
        <v>-1.1000000000000227</v>
      </c>
      <c r="J46" s="43"/>
      <c r="K46" s="43"/>
      <c r="L46" s="43"/>
      <c r="M46" s="2"/>
      <c r="N46" s="146" t="s">
        <v>22</v>
      </c>
      <c r="O46" s="281">
        <v>5.9</v>
      </c>
      <c r="P46" s="282">
        <v>5.5</v>
      </c>
      <c r="Q46" s="282">
        <v>0.8</v>
      </c>
      <c r="R46" s="282">
        <v>6.5</v>
      </c>
      <c r="S46" s="282">
        <v>6.5</v>
      </c>
      <c r="T46" s="284">
        <v>6.2</v>
      </c>
      <c r="U46" s="538">
        <f t="shared" si="11"/>
        <v>31.400000000000002</v>
      </c>
      <c r="V46" s="616">
        <f t="shared" si="13"/>
        <v>0</v>
      </c>
      <c r="W46" s="48"/>
    </row>
    <row r="47" spans="1:26" ht="33.75" customHeight="1" thickBot="1" x14ac:dyDescent="0.3">
      <c r="A47" s="146" t="s">
        <v>23</v>
      </c>
      <c r="B47" s="133">
        <v>76.7</v>
      </c>
      <c r="C47" s="497">
        <v>74</v>
      </c>
      <c r="D47" s="724">
        <v>4</v>
      </c>
      <c r="E47" s="600">
        <v>82</v>
      </c>
      <c r="F47" s="600">
        <v>83.4</v>
      </c>
      <c r="G47" s="498">
        <v>84.8</v>
      </c>
      <c r="H47" s="723">
        <f t="shared" si="10"/>
        <v>404.90000000000003</v>
      </c>
      <c r="I47" s="616">
        <f t="shared" si="12"/>
        <v>0</v>
      </c>
      <c r="J47" s="41"/>
      <c r="K47" s="41"/>
      <c r="L47" s="41"/>
      <c r="M47" s="2"/>
      <c r="N47" s="146" t="s">
        <v>23</v>
      </c>
      <c r="O47" s="281">
        <v>5.9</v>
      </c>
      <c r="P47" s="282">
        <v>5.5</v>
      </c>
      <c r="Q47" s="282">
        <v>0.8</v>
      </c>
      <c r="R47" s="282">
        <v>6.5</v>
      </c>
      <c r="S47" s="282">
        <v>6.5</v>
      </c>
      <c r="T47" s="284">
        <v>6.2</v>
      </c>
      <c r="U47" s="538">
        <f t="shared" si="11"/>
        <v>31.400000000000002</v>
      </c>
      <c r="V47" s="616">
        <f t="shared" si="13"/>
        <v>0</v>
      </c>
      <c r="W47" s="48"/>
      <c r="Z47" s="662"/>
    </row>
    <row r="48" spans="1:26" ht="33.75" customHeight="1" thickBot="1" x14ac:dyDescent="0.3">
      <c r="A48" s="145" t="s">
        <v>9</v>
      </c>
      <c r="B48" s="705">
        <f t="shared" ref="B48:G48" si="14">SUM(B41:B47)</f>
        <v>536.69999999999993</v>
      </c>
      <c r="C48" s="706">
        <f t="shared" si="14"/>
        <v>521</v>
      </c>
      <c r="D48" s="706">
        <f>SUM(D41:D47)</f>
        <v>34</v>
      </c>
      <c r="E48" s="706">
        <f t="shared" si="14"/>
        <v>576.5</v>
      </c>
      <c r="F48" s="706">
        <f t="shared" si="14"/>
        <v>585.1</v>
      </c>
      <c r="G48" s="707">
        <f t="shared" si="14"/>
        <v>591.6</v>
      </c>
      <c r="H48" s="560">
        <f t="shared" si="10"/>
        <v>2844.8999999999996</v>
      </c>
      <c r="I48" s="559"/>
      <c r="J48" s="763"/>
      <c r="K48" s="763"/>
      <c r="L48" s="763"/>
      <c r="N48" s="145" t="s">
        <v>9</v>
      </c>
      <c r="O48" s="225">
        <f t="shared" ref="O48:T48" si="15">SUM(O41:O47)</f>
        <v>40.5</v>
      </c>
      <c r="P48" s="201">
        <f t="shared" si="15"/>
        <v>40</v>
      </c>
      <c r="Q48" s="201">
        <f t="shared" si="15"/>
        <v>4.7</v>
      </c>
      <c r="R48" s="201">
        <f t="shared" si="15"/>
        <v>45.2</v>
      </c>
      <c r="S48" s="201">
        <f t="shared" si="15"/>
        <v>45.2</v>
      </c>
      <c r="T48" s="201">
        <f t="shared" si="15"/>
        <v>43.400000000000006</v>
      </c>
      <c r="U48" s="361">
        <f t="shared" si="11"/>
        <v>219.00000000000003</v>
      </c>
      <c r="V48" s="49"/>
      <c r="W48" s="2"/>
    </row>
    <row r="49" spans="1:25" ht="33.75" customHeight="1" x14ac:dyDescent="0.25">
      <c r="A49" s="148" t="s">
        <v>11</v>
      </c>
      <c r="B49" s="113">
        <v>152.82</v>
      </c>
      <c r="C49" s="114">
        <v>152.82</v>
      </c>
      <c r="D49" s="114">
        <v>152.82</v>
      </c>
      <c r="E49" s="114">
        <v>152.82</v>
      </c>
      <c r="F49" s="114">
        <v>152.82</v>
      </c>
      <c r="G49" s="115">
        <v>152.82</v>
      </c>
      <c r="H49" s="128">
        <f>+((H48/H50)/7)*1000</f>
        <v>152.84478590232629</v>
      </c>
      <c r="I49" s="559"/>
      <c r="J49" s="49"/>
      <c r="K49" s="49"/>
      <c r="L49" s="49"/>
      <c r="N49" s="453" t="s">
        <v>11</v>
      </c>
      <c r="O49" s="23">
        <v>155.5</v>
      </c>
      <c r="P49" s="24">
        <v>154.5</v>
      </c>
      <c r="Q49" s="24">
        <v>160</v>
      </c>
      <c r="R49" s="24">
        <v>157.5</v>
      </c>
      <c r="S49" s="24">
        <v>157.5</v>
      </c>
      <c r="T49" s="24">
        <v>159</v>
      </c>
      <c r="U49" s="128">
        <f>+((U48/U50)/7)*1000</f>
        <v>157.21464465183061</v>
      </c>
      <c r="V49" s="50"/>
    </row>
    <row r="50" spans="1:25" ht="33.75" customHeight="1" x14ac:dyDescent="0.25">
      <c r="A50" s="149" t="s">
        <v>12</v>
      </c>
      <c r="B50" s="26">
        <v>502</v>
      </c>
      <c r="C50" s="27">
        <v>487</v>
      </c>
      <c r="D50" s="27">
        <v>31</v>
      </c>
      <c r="E50" s="27">
        <v>539</v>
      </c>
      <c r="F50" s="27">
        <v>547</v>
      </c>
      <c r="G50" s="28">
        <v>553</v>
      </c>
      <c r="H50" s="129">
        <f>SUM(B50:G50)</f>
        <v>2659</v>
      </c>
      <c r="I50" s="559"/>
      <c r="J50" s="41"/>
      <c r="K50" s="41"/>
      <c r="L50" s="49"/>
      <c r="M50" s="51"/>
      <c r="N50" s="149" t="s">
        <v>12</v>
      </c>
      <c r="O50" s="241">
        <v>37</v>
      </c>
      <c r="P50" s="278">
        <v>37</v>
      </c>
      <c r="Q50" s="278">
        <v>4</v>
      </c>
      <c r="R50" s="278">
        <v>41</v>
      </c>
      <c r="S50" s="278">
        <v>41</v>
      </c>
      <c r="T50" s="278">
        <v>39</v>
      </c>
      <c r="U50" s="276">
        <f>SUM(O50:T50)</f>
        <v>199</v>
      </c>
      <c r="V50" s="52"/>
    </row>
    <row r="51" spans="1:25" ht="33.75" customHeight="1" x14ac:dyDescent="0.25">
      <c r="A51" s="150" t="s">
        <v>13</v>
      </c>
      <c r="B51" s="30">
        <f>((((B49*7)*B50)/1000-B41)/6)</f>
        <v>76.734913333333324</v>
      </c>
      <c r="C51" s="31">
        <f t="shared" ref="C51:G51" si="16">((((C49*7)*C50)/1000-C41)/6)</f>
        <v>74.177230000000009</v>
      </c>
      <c r="D51" s="31">
        <f t="shared" si="16"/>
        <v>4.4103233333333334</v>
      </c>
      <c r="E51" s="31">
        <f t="shared" si="16"/>
        <v>82.014976666666655</v>
      </c>
      <c r="F51" s="31">
        <f t="shared" si="16"/>
        <v>83.407963333333342</v>
      </c>
      <c r="G51" s="32">
        <f t="shared" si="16"/>
        <v>84.594369999999984</v>
      </c>
      <c r="H51" s="130">
        <f>((H48*1000)/H50)/7</f>
        <v>152.84478590232629</v>
      </c>
      <c r="I51" s="759"/>
      <c r="J51" s="759"/>
      <c r="K51" s="41"/>
      <c r="L51" s="49"/>
      <c r="N51" s="150" t="s">
        <v>13</v>
      </c>
      <c r="O51" s="30">
        <f>((((O49*7)*O50)/1000/7))</f>
        <v>5.7535000000000007</v>
      </c>
      <c r="P51" s="30">
        <f t="shared" ref="P51:T51" si="17">((((P49*7)*P50)/1000-P41-P42)/5)</f>
        <v>5.6431000000000013</v>
      </c>
      <c r="Q51" s="30">
        <f t="shared" si="17"/>
        <v>0.67600000000000005</v>
      </c>
      <c r="R51" s="30">
        <f t="shared" si="17"/>
        <v>6.4605000000000006</v>
      </c>
      <c r="S51" s="30">
        <f t="shared" si="17"/>
        <v>6.4605000000000006</v>
      </c>
      <c r="T51" s="30">
        <f t="shared" si="17"/>
        <v>6.2013999999999987</v>
      </c>
      <c r="U51" s="454">
        <f>((U48*1000)/U50)/7</f>
        <v>157.21464465183061</v>
      </c>
      <c r="V51" s="192"/>
    </row>
    <row r="52" spans="1:25" ht="33.75" customHeight="1" x14ac:dyDescent="0.25">
      <c r="A52" s="151" t="s">
        <v>14</v>
      </c>
      <c r="B52" s="281">
        <f>((B50*B49)*7)/1000</f>
        <v>537.00947999999994</v>
      </c>
      <c r="C52" s="282">
        <f t="shared" ref="C52:G52" si="18">((C50*C49)*7)/1000</f>
        <v>520.96338000000003</v>
      </c>
      <c r="D52" s="282">
        <f t="shared" si="18"/>
        <v>33.161940000000001</v>
      </c>
      <c r="E52" s="282">
        <f t="shared" si="18"/>
        <v>576.58985999999993</v>
      </c>
      <c r="F52" s="282">
        <f t="shared" si="18"/>
        <v>585.1477799999999</v>
      </c>
      <c r="G52" s="284">
        <f t="shared" si="18"/>
        <v>591.56621999999993</v>
      </c>
      <c r="H52" s="108"/>
      <c r="I52" s="56"/>
      <c r="J52" s="56"/>
      <c r="K52" s="41"/>
      <c r="L52" s="49"/>
      <c r="N52" s="151" t="s">
        <v>14</v>
      </c>
      <c r="O52" s="281">
        <f t="shared" ref="O52:T52" si="19">((O50*O49)*7)/1000</f>
        <v>40.274500000000003</v>
      </c>
      <c r="P52" s="282">
        <f t="shared" si="19"/>
        <v>40.015500000000003</v>
      </c>
      <c r="Q52" s="282">
        <f t="shared" si="19"/>
        <v>4.4800000000000004</v>
      </c>
      <c r="R52" s="282">
        <f t="shared" si="19"/>
        <v>45.202500000000001</v>
      </c>
      <c r="S52" s="282">
        <f t="shared" si="19"/>
        <v>45.202500000000001</v>
      </c>
      <c r="T52" s="282">
        <f t="shared" si="19"/>
        <v>43.406999999999996</v>
      </c>
      <c r="U52" s="36"/>
    </row>
    <row r="53" spans="1:25" ht="33.75" customHeight="1" thickBot="1" x14ac:dyDescent="0.3">
      <c r="A53" s="152" t="s">
        <v>15</v>
      </c>
      <c r="B53" s="37">
        <f t="shared" ref="B53:G53" si="20">+(B48/B50)/7*1000</f>
        <v>152.73192942515652</v>
      </c>
      <c r="C53" s="38">
        <f t="shared" si="20"/>
        <v>152.83074215312408</v>
      </c>
      <c r="D53" s="38">
        <f t="shared" si="20"/>
        <v>156.68202764976957</v>
      </c>
      <c r="E53" s="38">
        <f t="shared" si="20"/>
        <v>152.79618340842833</v>
      </c>
      <c r="F53" s="38">
        <f t="shared" si="20"/>
        <v>152.80752154609559</v>
      </c>
      <c r="G53" s="39">
        <f t="shared" si="20"/>
        <v>152.8287264272798</v>
      </c>
      <c r="H53" s="131"/>
      <c r="I53" s="45"/>
      <c r="J53" s="45"/>
      <c r="K53" s="759" t="s">
        <v>133</v>
      </c>
      <c r="L53" s="49"/>
      <c r="M53" s="41"/>
      <c r="N53" s="152" t="s">
        <v>15</v>
      </c>
      <c r="O53" s="37">
        <f t="shared" ref="O53:T53" si="21">+(O48/O50)/7*1000</f>
        <v>156.37065637065638</v>
      </c>
      <c r="P53" s="38">
        <f t="shared" si="21"/>
        <v>154.44015444015443</v>
      </c>
      <c r="Q53" s="38">
        <f t="shared" si="21"/>
        <v>167.85714285714286</v>
      </c>
      <c r="R53" s="38">
        <f t="shared" si="21"/>
        <v>157.49128919860627</v>
      </c>
      <c r="S53" s="38">
        <f t="shared" si="21"/>
        <v>157.49128919860627</v>
      </c>
      <c r="T53" s="38">
        <f t="shared" si="21"/>
        <v>158.97435897435901</v>
      </c>
      <c r="U53" s="324"/>
      <c r="V53" s="763"/>
    </row>
    <row r="54" spans="1:25" ht="33.75" customHeight="1" x14ac:dyDescent="0.25">
      <c r="A54" s="41"/>
      <c r="B54" s="645">
        <f t="shared" ref="B54:G55" si="22">B52-B48</f>
        <v>0.30948000000000775</v>
      </c>
      <c r="C54" s="645">
        <f t="shared" si="22"/>
        <v>-3.6619999999970787E-2</v>
      </c>
      <c r="D54" s="645">
        <f t="shared" si="22"/>
        <v>-0.83805999999999869</v>
      </c>
      <c r="E54" s="645">
        <f t="shared" si="22"/>
        <v>8.9859999999930551E-2</v>
      </c>
      <c r="F54" s="645">
        <f t="shared" si="22"/>
        <v>4.7779999999875145E-2</v>
      </c>
      <c r="G54" s="645">
        <f t="shared" si="22"/>
        <v>-3.3780000000092514E-2</v>
      </c>
      <c r="H54" s="41"/>
      <c r="I54" s="45"/>
      <c r="J54" s="45"/>
      <c r="K54" s="56"/>
      <c r="L54" s="41"/>
      <c r="M54" s="41"/>
      <c r="N54" s="763"/>
      <c r="O54" s="645">
        <f t="shared" ref="O54:T55" si="23">O52-O48</f>
        <v>-0.2254999999999967</v>
      </c>
      <c r="P54" s="645">
        <f t="shared" si="23"/>
        <v>1.5500000000002956E-2</v>
      </c>
      <c r="Q54" s="645">
        <f t="shared" si="23"/>
        <v>-0.21999999999999975</v>
      </c>
      <c r="R54" s="645">
        <f t="shared" si="23"/>
        <v>2.4999999999977263E-3</v>
      </c>
      <c r="S54" s="645">
        <f t="shared" si="23"/>
        <v>2.4999999999977263E-3</v>
      </c>
      <c r="T54" s="645">
        <f t="shared" si="23"/>
        <v>6.9999999999907914E-3</v>
      </c>
      <c r="X54" s="243"/>
      <c r="Y54" s="14"/>
    </row>
    <row r="55" spans="1:25" ht="33.75" customHeight="1" x14ac:dyDescent="0.25">
      <c r="A55" s="41"/>
      <c r="B55" s="763">
        <f>B53-B49</f>
        <v>-8.8070574843470695E-2</v>
      </c>
      <c r="C55" s="763">
        <f t="shared" si="22"/>
        <v>1.0742153124084552E-2</v>
      </c>
      <c r="D55" s="763">
        <f t="shared" si="22"/>
        <v>3.8620276497695727</v>
      </c>
      <c r="E55" s="763">
        <f t="shared" si="22"/>
        <v>-2.3816591571659274E-2</v>
      </c>
      <c r="F55" s="763">
        <f t="shared" si="22"/>
        <v>-1.2478453904407161E-2</v>
      </c>
      <c r="G55" s="763">
        <f t="shared" si="22"/>
        <v>8.7264272798108777E-3</v>
      </c>
      <c r="I55" s="2"/>
      <c r="J55" s="2"/>
      <c r="K55" s="45"/>
      <c r="L55" s="41"/>
      <c r="M55" s="763"/>
      <c r="N55" s="763"/>
      <c r="O55" s="763">
        <f t="shared" si="23"/>
        <v>0.87065637065637702</v>
      </c>
      <c r="P55" s="763">
        <f t="shared" si="23"/>
        <v>-5.9845559845570051E-2</v>
      </c>
      <c r="Q55" s="763">
        <f t="shared" si="23"/>
        <v>7.8571428571428612</v>
      </c>
      <c r="R55" s="763">
        <f t="shared" si="23"/>
        <v>-8.7108013937324813E-3</v>
      </c>
      <c r="S55" s="763">
        <f t="shared" si="23"/>
        <v>-8.7108013937324813E-3</v>
      </c>
      <c r="T55" s="763">
        <f t="shared" si="23"/>
        <v>-2.5641025640993576E-2</v>
      </c>
      <c r="V55" s="2"/>
      <c r="X55" s="243"/>
      <c r="Y55" s="14"/>
    </row>
    <row r="56" spans="1:25" ht="33.75" customHeight="1" x14ac:dyDescent="0.25">
      <c r="A56" s="41"/>
      <c r="B56" s="768">
        <f>B54/4</f>
        <v>7.7370000000001937E-2</v>
      </c>
      <c r="C56" s="768">
        <f t="shared" ref="C56:G56" si="24">C54/4</f>
        <v>-9.1549999999926968E-3</v>
      </c>
      <c r="D56" s="768">
        <f t="shared" si="24"/>
        <v>-0.20951499999999967</v>
      </c>
      <c r="E56" s="768">
        <f t="shared" si="24"/>
        <v>2.2464999999982638E-2</v>
      </c>
      <c r="F56" s="768">
        <f t="shared" si="24"/>
        <v>1.1944999999968786E-2</v>
      </c>
      <c r="G56" s="768">
        <f t="shared" si="24"/>
        <v>-8.4450000000231285E-3</v>
      </c>
      <c r="H56" s="41"/>
      <c r="I56" s="763"/>
      <c r="K56" s="2"/>
      <c r="L56" s="2"/>
      <c r="M56" s="45"/>
      <c r="N56" s="41"/>
      <c r="O56" s="41"/>
      <c r="P56" s="41"/>
      <c r="Q56" s="41"/>
      <c r="R56" s="41"/>
      <c r="S56" s="41"/>
      <c r="T56" s="41"/>
      <c r="U56" s="41"/>
      <c r="V56" s="41"/>
      <c r="W56" s="2"/>
    </row>
    <row r="57" spans="1:25" ht="33.75" customHeight="1" x14ac:dyDescent="0.25">
      <c r="A57" s="41"/>
      <c r="B57" s="763">
        <f>B56+B44</f>
        <v>76.777370000000005</v>
      </c>
      <c r="C57" s="768">
        <f t="shared" ref="C57:G57" si="25">C56+C44</f>
        <v>74.490845000000007</v>
      </c>
      <c r="D57" s="768">
        <f t="shared" si="25"/>
        <v>4.4904850000000005</v>
      </c>
      <c r="E57" s="768">
        <f t="shared" si="25"/>
        <v>82.022464999999983</v>
      </c>
      <c r="F57" s="768">
        <f t="shared" si="25"/>
        <v>83.511944999999969</v>
      </c>
      <c r="G57" s="768">
        <f t="shared" si="25"/>
        <v>84.791554999999974</v>
      </c>
      <c r="H57" s="763"/>
      <c r="I57" s="763"/>
      <c r="K57" s="2"/>
      <c r="L57" s="2"/>
      <c r="M57" s="45"/>
      <c r="N57" s="41"/>
      <c r="O57" s="763"/>
      <c r="P57" s="763"/>
      <c r="Q57" s="763"/>
      <c r="R57" s="763"/>
      <c r="S57" s="763"/>
      <c r="T57" s="763"/>
      <c r="U57" s="763"/>
      <c r="V57" s="763"/>
      <c r="W57" s="2"/>
    </row>
    <row r="58" spans="1:25" ht="33.75" customHeight="1" thickBot="1" x14ac:dyDescent="0.3">
      <c r="A58" s="41"/>
      <c r="B58" s="763"/>
      <c r="C58" s="763"/>
      <c r="D58" s="763"/>
      <c r="E58" s="763"/>
      <c r="F58" s="763"/>
      <c r="G58" s="763"/>
      <c r="H58" s="763"/>
      <c r="I58" s="763"/>
      <c r="K58" s="2"/>
      <c r="L58" s="2"/>
      <c r="M58" s="2"/>
      <c r="N58" s="41"/>
      <c r="O58" s="763"/>
      <c r="P58" s="763"/>
      <c r="Q58" s="763"/>
      <c r="R58" s="763"/>
      <c r="S58" s="763"/>
      <c r="T58" s="763"/>
      <c r="U58" s="763"/>
      <c r="V58" s="763"/>
      <c r="W58" s="2"/>
    </row>
    <row r="59" spans="1:25" ht="33.75" customHeight="1" thickBot="1" x14ac:dyDescent="0.3">
      <c r="A59" s="458" t="s">
        <v>19</v>
      </c>
      <c r="B59" s="1059" t="s">
        <v>113</v>
      </c>
      <c r="C59" s="1060"/>
      <c r="D59" s="1060"/>
      <c r="E59" s="1060"/>
      <c r="F59" s="1060"/>
      <c r="G59" s="1060"/>
      <c r="H59" s="1060"/>
      <c r="I59" s="1054" t="s">
        <v>63</v>
      </c>
      <c r="J59" s="1055"/>
      <c r="K59" s="1055"/>
      <c r="L59" s="1055"/>
      <c r="M59" s="1055"/>
      <c r="N59" s="1055"/>
      <c r="O59" s="1055"/>
      <c r="P59" s="1051" t="s">
        <v>8</v>
      </c>
      <c r="Q59" s="1052"/>
      <c r="R59" s="1052"/>
      <c r="S59" s="1052"/>
      <c r="T59" s="1052"/>
      <c r="U59" s="1052"/>
      <c r="V59" s="1053"/>
      <c r="W59" s="331"/>
      <c r="X59" s="243"/>
      <c r="Y59" s="14"/>
    </row>
    <row r="60" spans="1:25" ht="33.75" customHeight="1" thickBot="1" x14ac:dyDescent="0.3">
      <c r="A60" s="180" t="s">
        <v>34</v>
      </c>
      <c r="B60" s="461">
        <v>1</v>
      </c>
      <c r="C60" s="462">
        <v>2</v>
      </c>
      <c r="D60" s="462">
        <v>3</v>
      </c>
      <c r="E60" s="462">
        <v>4</v>
      </c>
      <c r="F60" s="463">
        <v>5</v>
      </c>
      <c r="G60" s="461">
        <v>6</v>
      </c>
      <c r="H60" s="463">
        <v>7</v>
      </c>
      <c r="I60" s="461">
        <v>8</v>
      </c>
      <c r="J60" s="462">
        <v>9</v>
      </c>
      <c r="K60" s="462">
        <v>10</v>
      </c>
      <c r="L60" s="462">
        <v>11</v>
      </c>
      <c r="M60" s="462">
        <v>12</v>
      </c>
      <c r="N60" s="462">
        <v>13</v>
      </c>
      <c r="O60" s="473">
        <v>14</v>
      </c>
      <c r="P60" s="461">
        <v>15</v>
      </c>
      <c r="Q60" s="462">
        <v>16</v>
      </c>
      <c r="R60" s="462">
        <v>17</v>
      </c>
      <c r="S60" s="462">
        <v>18</v>
      </c>
      <c r="T60" s="462">
        <v>19</v>
      </c>
      <c r="U60" s="462">
        <v>20</v>
      </c>
      <c r="V60" s="473">
        <v>21</v>
      </c>
      <c r="W60" s="359" t="s">
        <v>9</v>
      </c>
      <c r="X60" s="243"/>
      <c r="Y60" s="14"/>
    </row>
    <row r="61" spans="1:25" ht="33.75" customHeight="1" thickBot="1" x14ac:dyDescent="0.3">
      <c r="A61" s="80" t="s">
        <v>10</v>
      </c>
      <c r="B61" s="169">
        <v>1</v>
      </c>
      <c r="C61" s="162">
        <v>2</v>
      </c>
      <c r="D61" s="162">
        <v>3</v>
      </c>
      <c r="E61" s="162">
        <v>4</v>
      </c>
      <c r="F61" s="162">
        <v>5</v>
      </c>
      <c r="G61" s="162">
        <v>6</v>
      </c>
      <c r="H61" s="170">
        <v>7</v>
      </c>
      <c r="I61" s="169">
        <v>1</v>
      </c>
      <c r="J61" s="162">
        <v>2</v>
      </c>
      <c r="K61" s="162">
        <v>3</v>
      </c>
      <c r="L61" s="162">
        <v>4</v>
      </c>
      <c r="M61" s="162">
        <v>5</v>
      </c>
      <c r="N61" s="162">
        <v>6</v>
      </c>
      <c r="O61" s="171">
        <v>7</v>
      </c>
      <c r="P61" s="169">
        <v>1</v>
      </c>
      <c r="Q61" s="162">
        <v>2</v>
      </c>
      <c r="R61" s="162">
        <v>3</v>
      </c>
      <c r="S61" s="162">
        <v>4</v>
      </c>
      <c r="T61" s="162">
        <v>5</v>
      </c>
      <c r="U61" s="162">
        <v>6</v>
      </c>
      <c r="V61" s="171">
        <v>7</v>
      </c>
      <c r="W61" s="359">
        <v>130.6</v>
      </c>
      <c r="X61" s="243"/>
      <c r="Y61" s="244"/>
    </row>
    <row r="62" spans="1:25" ht="33.75" customHeight="1" x14ac:dyDescent="0.25">
      <c r="A62" s="146" t="s">
        <v>51</v>
      </c>
      <c r="B62" s="650">
        <v>6.9</v>
      </c>
      <c r="C62" s="651">
        <v>6.4</v>
      </c>
      <c r="D62" s="651">
        <v>6.8</v>
      </c>
      <c r="E62" s="651">
        <v>1.5</v>
      </c>
      <c r="F62" s="651">
        <v>6.9</v>
      </c>
      <c r="G62" s="651">
        <v>7</v>
      </c>
      <c r="H62" s="775">
        <v>7</v>
      </c>
      <c r="I62" s="650">
        <v>7.1</v>
      </c>
      <c r="J62" s="651">
        <v>7.1</v>
      </c>
      <c r="K62" s="651">
        <v>7.3</v>
      </c>
      <c r="L62" s="651">
        <v>1.5</v>
      </c>
      <c r="M62" s="651">
        <v>7.1</v>
      </c>
      <c r="N62" s="651">
        <v>7.2</v>
      </c>
      <c r="O62" s="775">
        <v>6.9</v>
      </c>
      <c r="P62" s="650">
        <v>7.2</v>
      </c>
      <c r="Q62" s="651">
        <v>7.2</v>
      </c>
      <c r="R62" s="651">
        <v>7.1</v>
      </c>
      <c r="S62" s="651">
        <v>1.6</v>
      </c>
      <c r="T62" s="651">
        <v>7.1</v>
      </c>
      <c r="U62" s="651">
        <v>7.1</v>
      </c>
      <c r="V62" s="775">
        <v>6.6</v>
      </c>
      <c r="W62" s="703">
        <f t="shared" ref="W62:W68" si="26">SUM(B62:V62)</f>
        <v>130.6</v>
      </c>
      <c r="X62" s="616">
        <f>W62-W61</f>
        <v>0</v>
      </c>
      <c r="Y62" s="642"/>
    </row>
    <row r="63" spans="1:25" ht="33.75" customHeight="1" x14ac:dyDescent="0.25">
      <c r="A63" s="146" t="s">
        <v>24</v>
      </c>
      <c r="B63" s="133">
        <v>6.9</v>
      </c>
      <c r="C63" s="497">
        <v>6.4</v>
      </c>
      <c r="D63" s="497">
        <v>6.7</v>
      </c>
      <c r="E63" s="497">
        <v>1.4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7.2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26"/>
        <v>129.9</v>
      </c>
      <c r="X63" s="616">
        <f>W63-W62</f>
        <v>-0.69999999999998863</v>
      </c>
      <c r="Y63" s="642"/>
    </row>
    <row r="64" spans="1:25" ht="33.75" customHeight="1" x14ac:dyDescent="0.25">
      <c r="A64" s="146" t="s">
        <v>20</v>
      </c>
      <c r="B64" s="133">
        <v>6.9</v>
      </c>
      <c r="C64" s="497">
        <v>6.4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1.4</v>
      </c>
      <c r="M64" s="497">
        <v>7.1</v>
      </c>
      <c r="N64" s="497">
        <v>7.2</v>
      </c>
      <c r="O64" s="498">
        <v>6.9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7.2</v>
      </c>
      <c r="V64" s="498">
        <v>6.7</v>
      </c>
      <c r="W64" s="703">
        <f t="shared" si="26"/>
        <v>130.4</v>
      </c>
      <c r="X64" s="616">
        <f t="shared" ref="X64:X68" si="27">W64-W63</f>
        <v>0.5</v>
      </c>
      <c r="Y64" s="642"/>
    </row>
    <row r="65" spans="1:25" ht="33.75" customHeight="1" x14ac:dyDescent="0.25">
      <c r="A65" s="146" t="s">
        <v>28</v>
      </c>
      <c r="B65" s="133">
        <v>6.9</v>
      </c>
      <c r="C65" s="497">
        <v>6.5</v>
      </c>
      <c r="D65" s="497">
        <v>6.7</v>
      </c>
      <c r="E65" s="497">
        <v>1.4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1.4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7.2</v>
      </c>
      <c r="V65" s="498">
        <v>6.7</v>
      </c>
      <c r="W65" s="703">
        <f t="shared" si="26"/>
        <v>130.6</v>
      </c>
      <c r="X65" s="616">
        <f t="shared" si="27"/>
        <v>0.19999999999998863</v>
      </c>
      <c r="Y65" s="642"/>
    </row>
    <row r="66" spans="1:25" ht="33.75" customHeight="1" x14ac:dyDescent="0.25">
      <c r="A66" s="146" t="s">
        <v>21</v>
      </c>
      <c r="B66" s="133">
        <v>7</v>
      </c>
      <c r="C66" s="497">
        <v>6.5</v>
      </c>
      <c r="D66" s="497">
        <v>6.8</v>
      </c>
      <c r="E66" s="497">
        <v>1.4</v>
      </c>
      <c r="F66" s="497">
        <v>6.9</v>
      </c>
      <c r="G66" s="497">
        <v>7.1</v>
      </c>
      <c r="H66" s="498">
        <v>7.1</v>
      </c>
      <c r="I66" s="133">
        <v>7.1</v>
      </c>
      <c r="J66" s="497">
        <v>7.1</v>
      </c>
      <c r="K66" s="497">
        <v>7.3</v>
      </c>
      <c r="L66" s="497">
        <v>1.5</v>
      </c>
      <c r="M66" s="497">
        <v>7.1</v>
      </c>
      <c r="N66" s="497">
        <v>7.2</v>
      </c>
      <c r="O66" s="498">
        <v>6.9</v>
      </c>
      <c r="P66" s="133">
        <v>7.2</v>
      </c>
      <c r="Q66" s="497">
        <v>7.2</v>
      </c>
      <c r="R66" s="497">
        <v>7.1</v>
      </c>
      <c r="S66" s="497">
        <v>1.6</v>
      </c>
      <c r="T66" s="497">
        <v>7.1</v>
      </c>
      <c r="U66" s="497">
        <v>7.2</v>
      </c>
      <c r="V66" s="498">
        <v>6.7</v>
      </c>
      <c r="W66" s="703">
        <f t="shared" si="26"/>
        <v>131.1</v>
      </c>
      <c r="X66" s="616">
        <f t="shared" si="27"/>
        <v>0.5</v>
      </c>
      <c r="Y66" s="642"/>
    </row>
    <row r="67" spans="1:25" ht="33.75" customHeight="1" x14ac:dyDescent="0.25">
      <c r="A67" s="146" t="s">
        <v>22</v>
      </c>
      <c r="B67" s="133">
        <v>7</v>
      </c>
      <c r="C67" s="497">
        <v>6.5</v>
      </c>
      <c r="D67" s="497">
        <v>6.8</v>
      </c>
      <c r="E67" s="497">
        <v>1.5</v>
      </c>
      <c r="F67" s="497">
        <v>7</v>
      </c>
      <c r="G67" s="497">
        <v>7.1</v>
      </c>
      <c r="H67" s="498">
        <v>7.1</v>
      </c>
      <c r="I67" s="133">
        <v>7.2</v>
      </c>
      <c r="J67" s="497">
        <v>7.2</v>
      </c>
      <c r="K67" s="497">
        <v>7.3</v>
      </c>
      <c r="L67" s="497">
        <v>1.5</v>
      </c>
      <c r="M67" s="497">
        <v>7.1</v>
      </c>
      <c r="N67" s="497">
        <v>7.2</v>
      </c>
      <c r="O67" s="498">
        <v>6.9</v>
      </c>
      <c r="P67" s="133">
        <v>7.2</v>
      </c>
      <c r="Q67" s="497">
        <v>7.2</v>
      </c>
      <c r="R67" s="497">
        <v>7.1</v>
      </c>
      <c r="S67" s="497">
        <v>1.6</v>
      </c>
      <c r="T67" s="497">
        <v>7.1</v>
      </c>
      <c r="U67" s="497">
        <v>7.2</v>
      </c>
      <c r="V67" s="498">
        <v>6.7</v>
      </c>
      <c r="W67" s="703">
        <f t="shared" si="26"/>
        <v>131.5</v>
      </c>
      <c r="X67" s="616">
        <f t="shared" si="27"/>
        <v>0.40000000000000568</v>
      </c>
      <c r="Y67" s="642"/>
    </row>
    <row r="68" spans="1:25" ht="33.75" customHeight="1" thickBot="1" x14ac:dyDescent="0.3">
      <c r="A68" s="146" t="s">
        <v>23</v>
      </c>
      <c r="B68" s="670">
        <v>7</v>
      </c>
      <c r="C68" s="671">
        <v>6.5</v>
      </c>
      <c r="D68" s="671">
        <v>6.8</v>
      </c>
      <c r="E68" s="671">
        <v>1.5</v>
      </c>
      <c r="F68" s="671">
        <v>7</v>
      </c>
      <c r="G68" s="671">
        <v>7.1</v>
      </c>
      <c r="H68" s="672">
        <v>7</v>
      </c>
      <c r="I68" s="670">
        <v>7.2</v>
      </c>
      <c r="J68" s="671">
        <v>7.2</v>
      </c>
      <c r="K68" s="671">
        <v>7.3</v>
      </c>
      <c r="L68" s="671">
        <v>1.5</v>
      </c>
      <c r="M68" s="671">
        <v>7.1</v>
      </c>
      <c r="N68" s="671">
        <v>7.2</v>
      </c>
      <c r="O68" s="672">
        <v>6.9</v>
      </c>
      <c r="P68" s="670">
        <v>7.3</v>
      </c>
      <c r="Q68" s="671">
        <v>7.3</v>
      </c>
      <c r="R68" s="671">
        <v>7.1</v>
      </c>
      <c r="S68" s="671">
        <v>1.7</v>
      </c>
      <c r="T68" s="671">
        <v>7.1</v>
      </c>
      <c r="U68" s="671">
        <v>7.2</v>
      </c>
      <c r="V68" s="672">
        <v>6.8</v>
      </c>
      <c r="W68" s="703">
        <f t="shared" si="26"/>
        <v>131.80000000000001</v>
      </c>
      <c r="X68" s="616">
        <f t="shared" si="27"/>
        <v>0.30000000000001137</v>
      </c>
      <c r="Y68" s="642"/>
    </row>
    <row r="69" spans="1:25" ht="33.75" customHeight="1" x14ac:dyDescent="0.25">
      <c r="A69" s="182" t="s">
        <v>9</v>
      </c>
      <c r="B69" s="225">
        <f>SUM(B62:B68)</f>
        <v>48.6</v>
      </c>
      <c r="C69" s="201">
        <f>SUM(C62:C68)</f>
        <v>45.2</v>
      </c>
      <c r="D69" s="201">
        <f t="shared" ref="D69:V69" si="28">SUM(D62:D68)</f>
        <v>47.29999999999999</v>
      </c>
      <c r="E69" s="201">
        <f t="shared" si="28"/>
        <v>10.1</v>
      </c>
      <c r="F69" s="201">
        <f t="shared" si="28"/>
        <v>48.5</v>
      </c>
      <c r="G69" s="201">
        <f t="shared" si="28"/>
        <v>49.300000000000004</v>
      </c>
      <c r="H69" s="273">
        <f t="shared" si="28"/>
        <v>49.2</v>
      </c>
      <c r="I69" s="200">
        <f t="shared" si="28"/>
        <v>49.900000000000006</v>
      </c>
      <c r="J69" s="201">
        <f t="shared" si="28"/>
        <v>49.900000000000006</v>
      </c>
      <c r="K69" s="201">
        <f t="shared" si="28"/>
        <v>50.899999999999991</v>
      </c>
      <c r="L69" s="201">
        <f t="shared" si="28"/>
        <v>10.199999999999999</v>
      </c>
      <c r="M69" s="201">
        <f t="shared" si="28"/>
        <v>49.6</v>
      </c>
      <c r="N69" s="201">
        <f t="shared" si="28"/>
        <v>50.400000000000006</v>
      </c>
      <c r="O69" s="229">
        <f t="shared" si="28"/>
        <v>48.199999999999996</v>
      </c>
      <c r="P69" s="122">
        <f t="shared" si="28"/>
        <v>50.5</v>
      </c>
      <c r="Q69" s="120">
        <f t="shared" si="28"/>
        <v>50.5</v>
      </c>
      <c r="R69" s="120">
        <f t="shared" si="28"/>
        <v>49.6</v>
      </c>
      <c r="S69" s="120">
        <f t="shared" si="28"/>
        <v>11.299999999999999</v>
      </c>
      <c r="T69" s="120">
        <f t="shared" si="28"/>
        <v>49.6</v>
      </c>
      <c r="U69" s="120">
        <f t="shared" si="28"/>
        <v>50.2</v>
      </c>
      <c r="V69" s="121">
        <f t="shared" si="28"/>
        <v>46.9</v>
      </c>
      <c r="W69" s="326">
        <f>SUM(W62:W68)</f>
        <v>915.90000000000009</v>
      </c>
      <c r="X69" s="243"/>
      <c r="Y69" s="14"/>
    </row>
    <row r="70" spans="1:25" ht="33.75" customHeight="1" x14ac:dyDescent="0.25">
      <c r="A70" s="148" t="s">
        <v>11</v>
      </c>
      <c r="B70" s="23">
        <v>161.5</v>
      </c>
      <c r="C70" s="24">
        <v>161.5</v>
      </c>
      <c r="D70" s="24">
        <v>161</v>
      </c>
      <c r="E70" s="24">
        <v>161</v>
      </c>
      <c r="F70" s="24">
        <v>161</v>
      </c>
      <c r="G70" s="24">
        <v>160</v>
      </c>
      <c r="H70" s="25">
        <v>160</v>
      </c>
      <c r="I70" s="23">
        <v>162</v>
      </c>
      <c r="J70" s="24">
        <v>162</v>
      </c>
      <c r="K70" s="24">
        <v>161.5</v>
      </c>
      <c r="L70" s="24">
        <v>161.5</v>
      </c>
      <c r="M70" s="24">
        <v>161</v>
      </c>
      <c r="N70" s="24">
        <v>160</v>
      </c>
      <c r="O70" s="155">
        <v>160</v>
      </c>
      <c r="P70" s="23">
        <v>164</v>
      </c>
      <c r="Q70" s="24">
        <v>164</v>
      </c>
      <c r="R70" s="24">
        <v>161</v>
      </c>
      <c r="S70" s="24">
        <v>161</v>
      </c>
      <c r="T70" s="24">
        <v>161</v>
      </c>
      <c r="U70" s="24">
        <v>159.5</v>
      </c>
      <c r="V70" s="25">
        <v>159.5</v>
      </c>
      <c r="W70" s="327">
        <f>((W69/W71)/7)*1000</f>
        <v>161.3352122599965</v>
      </c>
      <c r="X70" s="243"/>
      <c r="Y70" s="14"/>
    </row>
    <row r="71" spans="1:25" ht="33.75" customHeight="1" x14ac:dyDescent="0.25">
      <c r="A71" s="149" t="s">
        <v>12</v>
      </c>
      <c r="B71" s="26">
        <v>43</v>
      </c>
      <c r="C71" s="27">
        <v>40</v>
      </c>
      <c r="D71" s="27">
        <v>42</v>
      </c>
      <c r="E71" s="27">
        <v>9</v>
      </c>
      <c r="F71" s="27">
        <v>43</v>
      </c>
      <c r="G71" s="27">
        <v>44</v>
      </c>
      <c r="H71" s="28">
        <v>43</v>
      </c>
      <c r="I71" s="64">
        <v>44</v>
      </c>
      <c r="J71" s="27">
        <v>44</v>
      </c>
      <c r="K71" s="27">
        <v>45</v>
      </c>
      <c r="L71" s="27">
        <v>9</v>
      </c>
      <c r="M71" s="27">
        <v>44</v>
      </c>
      <c r="N71" s="27">
        <v>45</v>
      </c>
      <c r="O71" s="156">
        <v>43</v>
      </c>
      <c r="P71" s="26">
        <v>44</v>
      </c>
      <c r="Q71" s="27">
        <v>44</v>
      </c>
      <c r="R71" s="27">
        <v>44</v>
      </c>
      <c r="S71" s="27">
        <v>10</v>
      </c>
      <c r="T71" s="27">
        <v>44</v>
      </c>
      <c r="U71" s="27">
        <v>45</v>
      </c>
      <c r="V71" s="28">
        <v>42</v>
      </c>
      <c r="W71" s="328">
        <f>SUM(B71:V71)</f>
        <v>811</v>
      </c>
      <c r="X71" s="243"/>
      <c r="Y71" s="14"/>
    </row>
    <row r="72" spans="1:25" ht="33.75" customHeight="1" x14ac:dyDescent="0.25">
      <c r="A72" s="150" t="s">
        <v>13</v>
      </c>
      <c r="B72" s="30">
        <f t="shared" ref="B72:V72" si="29">((((B70*7)*B71)/1000-B62-B63)/5)</f>
        <v>6.9623000000000008</v>
      </c>
      <c r="C72" s="30">
        <f t="shared" si="29"/>
        <v>6.484</v>
      </c>
      <c r="D72" s="30">
        <f t="shared" si="29"/>
        <v>6.7668000000000008</v>
      </c>
      <c r="E72" s="30">
        <f t="shared" si="29"/>
        <v>1.4486000000000001</v>
      </c>
      <c r="F72" s="30">
        <f t="shared" si="29"/>
        <v>6.9321999999999999</v>
      </c>
      <c r="G72" s="30">
        <f t="shared" si="29"/>
        <v>7.056</v>
      </c>
      <c r="H72" s="30">
        <f t="shared" si="29"/>
        <v>6.831999999999999</v>
      </c>
      <c r="I72" s="30">
        <f t="shared" si="29"/>
        <v>7.1391999999999998</v>
      </c>
      <c r="J72" s="30">
        <f t="shared" si="29"/>
        <v>7.1391999999999998</v>
      </c>
      <c r="K72" s="30">
        <f t="shared" si="29"/>
        <v>7.2745000000000006</v>
      </c>
      <c r="L72" s="30">
        <f t="shared" si="29"/>
        <v>1.4548999999999999</v>
      </c>
      <c r="M72" s="30">
        <f t="shared" si="29"/>
        <v>7.0975999999999999</v>
      </c>
      <c r="N72" s="30">
        <f t="shared" si="29"/>
        <v>7.1999999999999984</v>
      </c>
      <c r="O72" s="358">
        <f t="shared" si="29"/>
        <v>6.8920000000000003</v>
      </c>
      <c r="P72" s="30">
        <f t="shared" si="29"/>
        <v>7.2223999999999986</v>
      </c>
      <c r="Q72" s="30">
        <f t="shared" si="29"/>
        <v>7.2223999999999986</v>
      </c>
      <c r="R72" s="30">
        <f t="shared" si="29"/>
        <v>7.0975999999999999</v>
      </c>
      <c r="S72" s="30">
        <f t="shared" si="29"/>
        <v>1.6140000000000001</v>
      </c>
      <c r="T72" s="30">
        <f t="shared" si="29"/>
        <v>7.0975999999999999</v>
      </c>
      <c r="U72" s="30">
        <f t="shared" si="29"/>
        <v>7.208499999999999</v>
      </c>
      <c r="V72" s="356">
        <f t="shared" si="29"/>
        <v>6.7185999999999995</v>
      </c>
      <c r="W72" s="329">
        <f>((W69*1000)/7)/W71</f>
        <v>161.3352122599965</v>
      </c>
      <c r="X72" s="243"/>
      <c r="Y72" s="14"/>
    </row>
    <row r="73" spans="1:25" ht="33.75" customHeight="1" x14ac:dyDescent="0.25">
      <c r="A73" s="151" t="s">
        <v>14</v>
      </c>
      <c r="B73" s="281">
        <f>((B71*B70)*7)/1000</f>
        <v>48.611499999999999</v>
      </c>
      <c r="C73" s="282">
        <f>((C71*C70)*7)/1000</f>
        <v>45.22</v>
      </c>
      <c r="D73" s="282">
        <f t="shared" ref="D73:V73" si="30">((D71*D70)*7)/1000</f>
        <v>47.334000000000003</v>
      </c>
      <c r="E73" s="282">
        <f t="shared" si="30"/>
        <v>10.143000000000001</v>
      </c>
      <c r="F73" s="282">
        <f t="shared" si="30"/>
        <v>48.460999999999999</v>
      </c>
      <c r="G73" s="282">
        <f t="shared" si="30"/>
        <v>49.28</v>
      </c>
      <c r="H73" s="284">
        <f t="shared" si="30"/>
        <v>48.16</v>
      </c>
      <c r="I73" s="285">
        <f t="shared" si="30"/>
        <v>49.896000000000001</v>
      </c>
      <c r="J73" s="282">
        <f t="shared" si="30"/>
        <v>49.896000000000001</v>
      </c>
      <c r="K73" s="282">
        <f t="shared" si="30"/>
        <v>50.872500000000002</v>
      </c>
      <c r="L73" s="282">
        <f t="shared" si="30"/>
        <v>10.1745</v>
      </c>
      <c r="M73" s="282">
        <f t="shared" si="30"/>
        <v>49.588000000000001</v>
      </c>
      <c r="N73" s="282">
        <f t="shared" si="30"/>
        <v>50.4</v>
      </c>
      <c r="O73" s="283">
        <f t="shared" si="30"/>
        <v>48.16</v>
      </c>
      <c r="P73" s="281">
        <f t="shared" si="30"/>
        <v>50.512</v>
      </c>
      <c r="Q73" s="282">
        <f t="shared" si="30"/>
        <v>50.512</v>
      </c>
      <c r="R73" s="282">
        <f t="shared" si="30"/>
        <v>49.588000000000001</v>
      </c>
      <c r="S73" s="282">
        <f t="shared" si="30"/>
        <v>11.27</v>
      </c>
      <c r="T73" s="282">
        <f t="shared" si="30"/>
        <v>49.588000000000001</v>
      </c>
      <c r="U73" s="282">
        <f t="shared" si="30"/>
        <v>50.2425</v>
      </c>
      <c r="V73" s="284">
        <f t="shared" si="30"/>
        <v>46.893000000000001</v>
      </c>
      <c r="W73" s="254"/>
      <c r="X73" s="243"/>
      <c r="Y73" s="14"/>
    </row>
    <row r="74" spans="1:25" ht="33.75" customHeight="1" thickBot="1" x14ac:dyDescent="0.3">
      <c r="A74" s="152" t="s">
        <v>15</v>
      </c>
      <c r="B74" s="37">
        <f>+(B69/B71)/7*1000</f>
        <v>161.46179401993356</v>
      </c>
      <c r="C74" s="38">
        <f t="shared" ref="C74:V74" si="31">+(C69/C71)/7*1000</f>
        <v>161.42857142857144</v>
      </c>
      <c r="D74" s="38">
        <f t="shared" si="31"/>
        <v>160.88435374149657</v>
      </c>
      <c r="E74" s="38">
        <f>+(E69/E71)/7*1000</f>
        <v>160.31746031746033</v>
      </c>
      <c r="F74" s="38">
        <f t="shared" si="31"/>
        <v>161.12956810631229</v>
      </c>
      <c r="G74" s="38">
        <f t="shared" si="31"/>
        <v>160.06493506493507</v>
      </c>
      <c r="H74" s="39">
        <f t="shared" si="31"/>
        <v>163.45514950166114</v>
      </c>
      <c r="I74" s="67">
        <f t="shared" si="31"/>
        <v>162.01298701298703</v>
      </c>
      <c r="J74" s="38">
        <f t="shared" si="31"/>
        <v>162.01298701298703</v>
      </c>
      <c r="K74" s="38">
        <f t="shared" si="31"/>
        <v>161.58730158730157</v>
      </c>
      <c r="L74" s="38">
        <f t="shared" si="31"/>
        <v>161.90476190476193</v>
      </c>
      <c r="M74" s="38">
        <f t="shared" si="31"/>
        <v>161.03896103896105</v>
      </c>
      <c r="N74" s="38">
        <f t="shared" si="31"/>
        <v>160</v>
      </c>
      <c r="O74" s="158">
        <f t="shared" si="31"/>
        <v>160.13289036544847</v>
      </c>
      <c r="P74" s="37">
        <f t="shared" si="31"/>
        <v>163.96103896103895</v>
      </c>
      <c r="Q74" s="38">
        <f t="shared" si="31"/>
        <v>163.96103896103895</v>
      </c>
      <c r="R74" s="38">
        <f t="shared" si="31"/>
        <v>161.03896103896105</v>
      </c>
      <c r="S74" s="38">
        <f t="shared" si="31"/>
        <v>161.42857142857142</v>
      </c>
      <c r="T74" s="38">
        <f t="shared" si="31"/>
        <v>161.03896103896105</v>
      </c>
      <c r="U74" s="38">
        <f t="shared" si="31"/>
        <v>159.36507936507937</v>
      </c>
      <c r="V74" s="39">
        <f t="shared" si="31"/>
        <v>159.52380952380955</v>
      </c>
      <c r="W74" s="237"/>
      <c r="X74" s="243"/>
      <c r="Y74" s="14"/>
    </row>
    <row r="75" spans="1:25" ht="33.75" customHeight="1" x14ac:dyDescent="0.25">
      <c r="A75" s="41"/>
      <c r="B75" s="645">
        <f t="shared" ref="B75:V76" si="32">B73-B69</f>
        <v>1.1499999999998067E-2</v>
      </c>
      <c r="C75" s="645">
        <f t="shared" si="32"/>
        <v>1.9999999999996021E-2</v>
      </c>
      <c r="D75" s="645">
        <f t="shared" si="32"/>
        <v>3.4000000000013131E-2</v>
      </c>
      <c r="E75" s="645">
        <f t="shared" si="32"/>
        <v>4.3000000000001037E-2</v>
      </c>
      <c r="F75" s="645">
        <f t="shared" si="32"/>
        <v>-3.9000000000001478E-2</v>
      </c>
      <c r="G75" s="645">
        <f t="shared" si="32"/>
        <v>-2.0000000000003126E-2</v>
      </c>
      <c r="H75" s="645">
        <f t="shared" si="32"/>
        <v>-1.0400000000000063</v>
      </c>
      <c r="I75" s="645">
        <f t="shared" si="32"/>
        <v>-4.0000000000048885E-3</v>
      </c>
      <c r="J75" s="645">
        <f t="shared" si="32"/>
        <v>-4.0000000000048885E-3</v>
      </c>
      <c r="K75" s="645">
        <f t="shared" si="32"/>
        <v>-2.74999999999892E-2</v>
      </c>
      <c r="L75" s="645">
        <f t="shared" si="32"/>
        <v>-2.549999999999919E-2</v>
      </c>
      <c r="M75" s="645">
        <f t="shared" si="32"/>
        <v>-1.2000000000000455E-2</v>
      </c>
      <c r="N75" s="645">
        <f t="shared" si="32"/>
        <v>0</v>
      </c>
      <c r="O75" s="645">
        <f t="shared" si="32"/>
        <v>-3.9999999999999147E-2</v>
      </c>
      <c r="P75" s="645">
        <f t="shared" si="32"/>
        <v>1.2000000000000455E-2</v>
      </c>
      <c r="Q75" s="645">
        <f t="shared" si="32"/>
        <v>1.2000000000000455E-2</v>
      </c>
      <c r="R75" s="645">
        <f t="shared" si="32"/>
        <v>-1.2000000000000455E-2</v>
      </c>
      <c r="S75" s="645">
        <f t="shared" si="32"/>
        <v>-2.9999999999999361E-2</v>
      </c>
      <c r="T75" s="645">
        <f t="shared" si="32"/>
        <v>-1.2000000000000455E-2</v>
      </c>
      <c r="U75" s="645">
        <f t="shared" si="32"/>
        <v>4.2499999999996874E-2</v>
      </c>
      <c r="V75" s="645">
        <f t="shared" si="32"/>
        <v>-6.9999999999978968E-3</v>
      </c>
      <c r="X75" s="243"/>
      <c r="Y75" s="14"/>
    </row>
    <row r="76" spans="1:25" ht="33.75" customHeight="1" x14ac:dyDescent="0.25">
      <c r="A76" s="41"/>
      <c r="B76" s="763">
        <f>B74-B70</f>
        <v>-3.8205980066436496E-2</v>
      </c>
      <c r="C76" s="763">
        <f t="shared" si="32"/>
        <v>-7.1428571428555188E-2</v>
      </c>
      <c r="D76" s="763">
        <f t="shared" si="32"/>
        <v>-0.11564625850343191</v>
      </c>
      <c r="E76" s="763">
        <f t="shared" si="32"/>
        <v>-0.68253968253966946</v>
      </c>
      <c r="F76" s="763">
        <f t="shared" si="32"/>
        <v>0.12956810631229132</v>
      </c>
      <c r="G76" s="763">
        <f t="shared" si="32"/>
        <v>6.4935064935070841E-2</v>
      </c>
      <c r="H76" s="763">
        <f t="shared" si="32"/>
        <v>3.4551495016611398</v>
      </c>
      <c r="I76" s="763">
        <f t="shared" si="32"/>
        <v>1.2987012987025537E-2</v>
      </c>
      <c r="J76" s="763">
        <f t="shared" si="32"/>
        <v>1.2987012987025537E-2</v>
      </c>
      <c r="K76" s="763">
        <f t="shared" si="32"/>
        <v>8.7301587301567452E-2</v>
      </c>
      <c r="L76" s="763">
        <f t="shared" si="32"/>
        <v>0.40476190476192642</v>
      </c>
      <c r="M76" s="763">
        <f t="shared" si="32"/>
        <v>3.8961038961048189E-2</v>
      </c>
      <c r="N76" s="763">
        <f t="shared" si="32"/>
        <v>0</v>
      </c>
      <c r="O76" s="763">
        <f t="shared" si="32"/>
        <v>0.13289036544847477</v>
      </c>
      <c r="P76" s="763">
        <f t="shared" si="32"/>
        <v>-3.8961038961048189E-2</v>
      </c>
      <c r="Q76" s="763">
        <f>Q74-Q70</f>
        <v>-3.8961038961048189E-2</v>
      </c>
      <c r="R76" s="763">
        <f t="shared" si="32"/>
        <v>3.8961038961048189E-2</v>
      </c>
      <c r="S76" s="763">
        <f t="shared" si="32"/>
        <v>0.42857142857141639</v>
      </c>
      <c r="T76" s="763">
        <f t="shared" si="32"/>
        <v>3.8961038961048189E-2</v>
      </c>
      <c r="U76" s="763">
        <f t="shared" si="32"/>
        <v>-0.13492063492063266</v>
      </c>
      <c r="V76" s="763">
        <f t="shared" si="32"/>
        <v>2.3809523809546818E-2</v>
      </c>
      <c r="X76" s="243"/>
      <c r="Y76" s="14"/>
    </row>
    <row r="77" spans="1:25" ht="33.75" customHeight="1" x14ac:dyDescent="0.25"/>
    <row r="78" spans="1:25" ht="33.75" customHeight="1" x14ac:dyDescent="0.25">
      <c r="A78" s="45"/>
    </row>
    <row r="79" spans="1:25" ht="33.75" customHeight="1" x14ac:dyDescent="0.25">
      <c r="A79" s="45"/>
      <c r="B79" s="649"/>
      <c r="C79" s="649"/>
      <c r="D79" s="649"/>
      <c r="E79" s="649"/>
      <c r="F79" s="649"/>
      <c r="G79" s="649"/>
      <c r="H79" s="649"/>
      <c r="I79" s="649"/>
      <c r="J79" s="649"/>
      <c r="K79" s="649"/>
      <c r="L79" s="649"/>
      <c r="M79" s="649"/>
      <c r="N79" s="649"/>
      <c r="O79" s="649"/>
      <c r="P79" s="649"/>
      <c r="Q79" s="649"/>
      <c r="R79" s="649"/>
      <c r="S79" s="649"/>
      <c r="T79" s="649"/>
      <c r="U79" s="649"/>
      <c r="V79" s="649"/>
      <c r="W79" s="649"/>
      <c r="X79" s="649"/>
    </row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8:G38"/>
    <mergeCell ref="O38:T38"/>
    <mergeCell ref="B59:H59"/>
    <mergeCell ref="I59:O59"/>
    <mergeCell ref="P59:V59"/>
  </mergeCells>
  <pageMargins left="0.7" right="0.7" top="0.75" bottom="0.75" header="0.3" footer="0.3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3"/>
  <dimension ref="A1:Z69"/>
  <sheetViews>
    <sheetView topLeftCell="A40" zoomScale="85" zoomScaleNormal="85" workbookViewId="0">
      <pane xSplit="1" topLeftCell="B1" activePane="topRight" state="frozen"/>
      <selection pane="topRight" activeCell="L21" activeCellId="2" sqref="Q21 S21 L21"/>
    </sheetView>
  </sheetViews>
  <sheetFormatPr baseColWidth="10" defaultRowHeight="15" x14ac:dyDescent="0.25"/>
  <cols>
    <col min="1" max="1" width="16.42578125" style="798" bestFit="1" customWidth="1"/>
    <col min="2" max="7" width="7.85546875" style="798" bestFit="1" customWidth="1"/>
    <col min="8" max="8" width="8.140625" style="798" bestFit="1" customWidth="1"/>
    <col min="9" max="9" width="7.28515625" style="798" bestFit="1" customWidth="1"/>
    <col min="10" max="11" width="6.85546875" style="798" bestFit="1" customWidth="1"/>
    <col min="12" max="12" width="7.85546875" style="798" customWidth="1"/>
    <col min="13" max="13" width="6.85546875" style="798" bestFit="1" customWidth="1"/>
    <col min="14" max="14" width="8.5703125" style="798" customWidth="1"/>
    <col min="15" max="19" width="6.85546875" style="798" bestFit="1" customWidth="1"/>
    <col min="20" max="20" width="7.42578125" style="798" customWidth="1"/>
    <col min="21" max="21" width="7.85546875" style="798" customWidth="1"/>
    <col min="22" max="22" width="9.140625" style="798" customWidth="1"/>
    <col min="23" max="23" width="9.5703125" style="798" bestFit="1" customWidth="1"/>
    <col min="24" max="24" width="8.28515625" style="798" bestFit="1" customWidth="1"/>
    <col min="25" max="25" width="10.5703125" style="798" bestFit="1" customWidth="1"/>
    <col min="26" max="26" width="24.7109375" style="798" customWidth="1"/>
    <col min="27" max="27" width="21.28515625" style="798" bestFit="1" customWidth="1"/>
    <col min="28" max="252" width="11.42578125" style="798"/>
    <col min="253" max="253" width="34.42578125" style="798" customWidth="1"/>
    <col min="254" max="255" width="19.42578125" style="798" bestFit="1" customWidth="1"/>
    <col min="256" max="256" width="19.7109375" style="798" customWidth="1"/>
    <col min="257" max="258" width="20.42578125" style="798" customWidth="1"/>
    <col min="259" max="260" width="19.7109375" style="798" customWidth="1"/>
    <col min="261" max="261" width="25.28515625" style="798" customWidth="1"/>
    <col min="262" max="262" width="26" style="798" customWidth="1"/>
    <col min="263" max="263" width="22.28515625" style="798" customWidth="1"/>
    <col min="264" max="264" width="24.85546875" style="798" customWidth="1"/>
    <col min="265" max="265" width="21.140625" style="798" customWidth="1"/>
    <col min="266" max="266" width="21.42578125" style="798" customWidth="1"/>
    <col min="267" max="267" width="27.85546875" style="798" customWidth="1"/>
    <col min="268" max="268" width="23.42578125" style="798" customWidth="1"/>
    <col min="269" max="269" width="21.42578125" style="798" customWidth="1"/>
    <col min="270" max="272" width="20.7109375" style="798" customWidth="1"/>
    <col min="273" max="273" width="32.28515625" style="798" bestFit="1" customWidth="1"/>
    <col min="274" max="274" width="20.7109375" style="798" customWidth="1"/>
    <col min="275" max="275" width="22" style="798" customWidth="1"/>
    <col min="276" max="279" width="21.28515625" style="798" customWidth="1"/>
    <col min="280" max="280" width="22.28515625" style="798" customWidth="1"/>
    <col min="281" max="282" width="11.42578125" style="798"/>
    <col min="283" max="283" width="14.85546875" style="798" bestFit="1" customWidth="1"/>
    <col min="284" max="508" width="11.42578125" style="798"/>
    <col min="509" max="509" width="34.42578125" style="798" customWidth="1"/>
    <col min="510" max="511" width="19.42578125" style="798" bestFit="1" customWidth="1"/>
    <col min="512" max="512" width="19.7109375" style="798" customWidth="1"/>
    <col min="513" max="514" width="20.42578125" style="798" customWidth="1"/>
    <col min="515" max="516" width="19.7109375" style="798" customWidth="1"/>
    <col min="517" max="517" width="25.28515625" style="798" customWidth="1"/>
    <col min="518" max="518" width="26" style="798" customWidth="1"/>
    <col min="519" max="519" width="22.28515625" style="798" customWidth="1"/>
    <col min="520" max="520" width="24.85546875" style="798" customWidth="1"/>
    <col min="521" max="521" width="21.140625" style="798" customWidth="1"/>
    <col min="522" max="522" width="21.42578125" style="798" customWidth="1"/>
    <col min="523" max="523" width="27.85546875" style="798" customWidth="1"/>
    <col min="524" max="524" width="23.42578125" style="798" customWidth="1"/>
    <col min="525" max="525" width="21.42578125" style="798" customWidth="1"/>
    <col min="526" max="528" width="20.7109375" style="798" customWidth="1"/>
    <col min="529" max="529" width="32.28515625" style="798" bestFit="1" customWidth="1"/>
    <col min="530" max="530" width="20.7109375" style="798" customWidth="1"/>
    <col min="531" max="531" width="22" style="798" customWidth="1"/>
    <col min="532" max="535" width="21.28515625" style="798" customWidth="1"/>
    <col min="536" max="536" width="22.28515625" style="798" customWidth="1"/>
    <col min="537" max="538" width="11.42578125" style="798"/>
    <col min="539" max="539" width="14.85546875" style="798" bestFit="1" customWidth="1"/>
    <col min="540" max="764" width="11.42578125" style="798"/>
    <col min="765" max="765" width="34.42578125" style="798" customWidth="1"/>
    <col min="766" max="767" width="19.42578125" style="798" bestFit="1" customWidth="1"/>
    <col min="768" max="768" width="19.7109375" style="798" customWidth="1"/>
    <col min="769" max="770" width="20.42578125" style="798" customWidth="1"/>
    <col min="771" max="772" width="19.7109375" style="798" customWidth="1"/>
    <col min="773" max="773" width="25.28515625" style="798" customWidth="1"/>
    <col min="774" max="774" width="26" style="798" customWidth="1"/>
    <col min="775" max="775" width="22.28515625" style="798" customWidth="1"/>
    <col min="776" max="776" width="24.85546875" style="798" customWidth="1"/>
    <col min="777" max="777" width="21.140625" style="798" customWidth="1"/>
    <col min="778" max="778" width="21.42578125" style="798" customWidth="1"/>
    <col min="779" max="779" width="27.85546875" style="798" customWidth="1"/>
    <col min="780" max="780" width="23.42578125" style="798" customWidth="1"/>
    <col min="781" max="781" width="21.42578125" style="798" customWidth="1"/>
    <col min="782" max="784" width="20.7109375" style="798" customWidth="1"/>
    <col min="785" max="785" width="32.28515625" style="798" bestFit="1" customWidth="1"/>
    <col min="786" max="786" width="20.7109375" style="798" customWidth="1"/>
    <col min="787" max="787" width="22" style="798" customWidth="1"/>
    <col min="788" max="791" width="21.28515625" style="798" customWidth="1"/>
    <col min="792" max="792" width="22.28515625" style="798" customWidth="1"/>
    <col min="793" max="794" width="11.42578125" style="798"/>
    <col min="795" max="795" width="14.85546875" style="798" bestFit="1" customWidth="1"/>
    <col min="796" max="1020" width="11.42578125" style="798"/>
    <col min="1021" max="1021" width="34.42578125" style="798" customWidth="1"/>
    <col min="1022" max="1023" width="19.42578125" style="798" bestFit="1" customWidth="1"/>
    <col min="1024" max="1024" width="19.7109375" style="798" customWidth="1"/>
    <col min="1025" max="1026" width="20.42578125" style="798" customWidth="1"/>
    <col min="1027" max="1028" width="19.7109375" style="798" customWidth="1"/>
    <col min="1029" max="1029" width="25.28515625" style="798" customWidth="1"/>
    <col min="1030" max="1030" width="26" style="798" customWidth="1"/>
    <col min="1031" max="1031" width="22.28515625" style="798" customWidth="1"/>
    <col min="1032" max="1032" width="24.85546875" style="798" customWidth="1"/>
    <col min="1033" max="1033" width="21.140625" style="798" customWidth="1"/>
    <col min="1034" max="1034" width="21.42578125" style="798" customWidth="1"/>
    <col min="1035" max="1035" width="27.85546875" style="798" customWidth="1"/>
    <col min="1036" max="1036" width="23.42578125" style="798" customWidth="1"/>
    <col min="1037" max="1037" width="21.42578125" style="798" customWidth="1"/>
    <col min="1038" max="1040" width="20.7109375" style="798" customWidth="1"/>
    <col min="1041" max="1041" width="32.28515625" style="798" bestFit="1" customWidth="1"/>
    <col min="1042" max="1042" width="20.7109375" style="798" customWidth="1"/>
    <col min="1043" max="1043" width="22" style="798" customWidth="1"/>
    <col min="1044" max="1047" width="21.28515625" style="798" customWidth="1"/>
    <col min="1048" max="1048" width="22.28515625" style="798" customWidth="1"/>
    <col min="1049" max="1050" width="11.42578125" style="798"/>
    <col min="1051" max="1051" width="14.85546875" style="798" bestFit="1" customWidth="1"/>
    <col min="1052" max="1276" width="11.42578125" style="798"/>
    <col min="1277" max="1277" width="34.42578125" style="798" customWidth="1"/>
    <col min="1278" max="1279" width="19.42578125" style="798" bestFit="1" customWidth="1"/>
    <col min="1280" max="1280" width="19.7109375" style="798" customWidth="1"/>
    <col min="1281" max="1282" width="20.42578125" style="798" customWidth="1"/>
    <col min="1283" max="1284" width="19.7109375" style="798" customWidth="1"/>
    <col min="1285" max="1285" width="25.28515625" style="798" customWidth="1"/>
    <col min="1286" max="1286" width="26" style="798" customWidth="1"/>
    <col min="1287" max="1287" width="22.28515625" style="798" customWidth="1"/>
    <col min="1288" max="1288" width="24.85546875" style="798" customWidth="1"/>
    <col min="1289" max="1289" width="21.140625" style="798" customWidth="1"/>
    <col min="1290" max="1290" width="21.42578125" style="798" customWidth="1"/>
    <col min="1291" max="1291" width="27.85546875" style="798" customWidth="1"/>
    <col min="1292" max="1292" width="23.42578125" style="798" customWidth="1"/>
    <col min="1293" max="1293" width="21.42578125" style="798" customWidth="1"/>
    <col min="1294" max="1296" width="20.7109375" style="798" customWidth="1"/>
    <col min="1297" max="1297" width="32.28515625" style="798" bestFit="1" customWidth="1"/>
    <col min="1298" max="1298" width="20.7109375" style="798" customWidth="1"/>
    <col min="1299" max="1299" width="22" style="798" customWidth="1"/>
    <col min="1300" max="1303" width="21.28515625" style="798" customWidth="1"/>
    <col min="1304" max="1304" width="22.28515625" style="798" customWidth="1"/>
    <col min="1305" max="1306" width="11.42578125" style="798"/>
    <col min="1307" max="1307" width="14.85546875" style="798" bestFit="1" customWidth="1"/>
    <col min="1308" max="1532" width="11.42578125" style="798"/>
    <col min="1533" max="1533" width="34.42578125" style="798" customWidth="1"/>
    <col min="1534" max="1535" width="19.42578125" style="798" bestFit="1" customWidth="1"/>
    <col min="1536" max="1536" width="19.7109375" style="798" customWidth="1"/>
    <col min="1537" max="1538" width="20.42578125" style="798" customWidth="1"/>
    <col min="1539" max="1540" width="19.7109375" style="798" customWidth="1"/>
    <col min="1541" max="1541" width="25.28515625" style="798" customWidth="1"/>
    <col min="1542" max="1542" width="26" style="798" customWidth="1"/>
    <col min="1543" max="1543" width="22.28515625" style="798" customWidth="1"/>
    <col min="1544" max="1544" width="24.85546875" style="798" customWidth="1"/>
    <col min="1545" max="1545" width="21.140625" style="798" customWidth="1"/>
    <col min="1546" max="1546" width="21.42578125" style="798" customWidth="1"/>
    <col min="1547" max="1547" width="27.85546875" style="798" customWidth="1"/>
    <col min="1548" max="1548" width="23.42578125" style="798" customWidth="1"/>
    <col min="1549" max="1549" width="21.42578125" style="798" customWidth="1"/>
    <col min="1550" max="1552" width="20.7109375" style="798" customWidth="1"/>
    <col min="1553" max="1553" width="32.28515625" style="798" bestFit="1" customWidth="1"/>
    <col min="1554" max="1554" width="20.7109375" style="798" customWidth="1"/>
    <col min="1555" max="1555" width="22" style="798" customWidth="1"/>
    <col min="1556" max="1559" width="21.28515625" style="798" customWidth="1"/>
    <col min="1560" max="1560" width="22.28515625" style="798" customWidth="1"/>
    <col min="1561" max="1562" width="11.42578125" style="798"/>
    <col min="1563" max="1563" width="14.85546875" style="798" bestFit="1" customWidth="1"/>
    <col min="1564" max="1788" width="11.42578125" style="798"/>
    <col min="1789" max="1789" width="34.42578125" style="798" customWidth="1"/>
    <col min="1790" max="1791" width="19.42578125" style="798" bestFit="1" customWidth="1"/>
    <col min="1792" max="1792" width="19.7109375" style="798" customWidth="1"/>
    <col min="1793" max="1794" width="20.42578125" style="798" customWidth="1"/>
    <col min="1795" max="1796" width="19.7109375" style="798" customWidth="1"/>
    <col min="1797" max="1797" width="25.28515625" style="798" customWidth="1"/>
    <col min="1798" max="1798" width="26" style="798" customWidth="1"/>
    <col min="1799" max="1799" width="22.28515625" style="798" customWidth="1"/>
    <col min="1800" max="1800" width="24.85546875" style="798" customWidth="1"/>
    <col min="1801" max="1801" width="21.140625" style="798" customWidth="1"/>
    <col min="1802" max="1802" width="21.42578125" style="798" customWidth="1"/>
    <col min="1803" max="1803" width="27.85546875" style="798" customWidth="1"/>
    <col min="1804" max="1804" width="23.42578125" style="798" customWidth="1"/>
    <col min="1805" max="1805" width="21.42578125" style="798" customWidth="1"/>
    <col min="1806" max="1808" width="20.7109375" style="798" customWidth="1"/>
    <col min="1809" max="1809" width="32.28515625" style="798" bestFit="1" customWidth="1"/>
    <col min="1810" max="1810" width="20.7109375" style="798" customWidth="1"/>
    <col min="1811" max="1811" width="22" style="798" customWidth="1"/>
    <col min="1812" max="1815" width="21.28515625" style="798" customWidth="1"/>
    <col min="1816" max="1816" width="22.28515625" style="798" customWidth="1"/>
    <col min="1817" max="1818" width="11.42578125" style="798"/>
    <col min="1819" max="1819" width="14.85546875" style="798" bestFit="1" customWidth="1"/>
    <col min="1820" max="2044" width="11.42578125" style="798"/>
    <col min="2045" max="2045" width="34.42578125" style="798" customWidth="1"/>
    <col min="2046" max="2047" width="19.42578125" style="798" bestFit="1" customWidth="1"/>
    <col min="2048" max="2048" width="19.7109375" style="798" customWidth="1"/>
    <col min="2049" max="2050" width="20.42578125" style="798" customWidth="1"/>
    <col min="2051" max="2052" width="19.7109375" style="798" customWidth="1"/>
    <col min="2053" max="2053" width="25.28515625" style="798" customWidth="1"/>
    <col min="2054" max="2054" width="26" style="798" customWidth="1"/>
    <col min="2055" max="2055" width="22.28515625" style="798" customWidth="1"/>
    <col min="2056" max="2056" width="24.85546875" style="798" customWidth="1"/>
    <col min="2057" max="2057" width="21.140625" style="798" customWidth="1"/>
    <col min="2058" max="2058" width="21.42578125" style="798" customWidth="1"/>
    <col min="2059" max="2059" width="27.85546875" style="798" customWidth="1"/>
    <col min="2060" max="2060" width="23.42578125" style="798" customWidth="1"/>
    <col min="2061" max="2061" width="21.42578125" style="798" customWidth="1"/>
    <col min="2062" max="2064" width="20.7109375" style="798" customWidth="1"/>
    <col min="2065" max="2065" width="32.28515625" style="798" bestFit="1" customWidth="1"/>
    <col min="2066" max="2066" width="20.7109375" style="798" customWidth="1"/>
    <col min="2067" max="2067" width="22" style="798" customWidth="1"/>
    <col min="2068" max="2071" width="21.28515625" style="798" customWidth="1"/>
    <col min="2072" max="2072" width="22.28515625" style="798" customWidth="1"/>
    <col min="2073" max="2074" width="11.42578125" style="798"/>
    <col min="2075" max="2075" width="14.85546875" style="798" bestFit="1" customWidth="1"/>
    <col min="2076" max="2300" width="11.42578125" style="798"/>
    <col min="2301" max="2301" width="34.42578125" style="798" customWidth="1"/>
    <col min="2302" max="2303" width="19.42578125" style="798" bestFit="1" customWidth="1"/>
    <col min="2304" max="2304" width="19.7109375" style="798" customWidth="1"/>
    <col min="2305" max="2306" width="20.42578125" style="798" customWidth="1"/>
    <col min="2307" max="2308" width="19.7109375" style="798" customWidth="1"/>
    <col min="2309" max="2309" width="25.28515625" style="798" customWidth="1"/>
    <col min="2310" max="2310" width="26" style="798" customWidth="1"/>
    <col min="2311" max="2311" width="22.28515625" style="798" customWidth="1"/>
    <col min="2312" max="2312" width="24.85546875" style="798" customWidth="1"/>
    <col min="2313" max="2313" width="21.140625" style="798" customWidth="1"/>
    <col min="2314" max="2314" width="21.42578125" style="798" customWidth="1"/>
    <col min="2315" max="2315" width="27.85546875" style="798" customWidth="1"/>
    <col min="2316" max="2316" width="23.42578125" style="798" customWidth="1"/>
    <col min="2317" max="2317" width="21.42578125" style="798" customWidth="1"/>
    <col min="2318" max="2320" width="20.7109375" style="798" customWidth="1"/>
    <col min="2321" max="2321" width="32.28515625" style="798" bestFit="1" customWidth="1"/>
    <col min="2322" max="2322" width="20.7109375" style="798" customWidth="1"/>
    <col min="2323" max="2323" width="22" style="798" customWidth="1"/>
    <col min="2324" max="2327" width="21.28515625" style="798" customWidth="1"/>
    <col min="2328" max="2328" width="22.28515625" style="798" customWidth="1"/>
    <col min="2329" max="2330" width="11.42578125" style="798"/>
    <col min="2331" max="2331" width="14.85546875" style="798" bestFit="1" customWidth="1"/>
    <col min="2332" max="2556" width="11.42578125" style="798"/>
    <col min="2557" max="2557" width="34.42578125" style="798" customWidth="1"/>
    <col min="2558" max="2559" width="19.42578125" style="798" bestFit="1" customWidth="1"/>
    <col min="2560" max="2560" width="19.7109375" style="798" customWidth="1"/>
    <col min="2561" max="2562" width="20.42578125" style="798" customWidth="1"/>
    <col min="2563" max="2564" width="19.7109375" style="798" customWidth="1"/>
    <col min="2565" max="2565" width="25.28515625" style="798" customWidth="1"/>
    <col min="2566" max="2566" width="26" style="798" customWidth="1"/>
    <col min="2567" max="2567" width="22.28515625" style="798" customWidth="1"/>
    <col min="2568" max="2568" width="24.85546875" style="798" customWidth="1"/>
    <col min="2569" max="2569" width="21.140625" style="798" customWidth="1"/>
    <col min="2570" max="2570" width="21.42578125" style="798" customWidth="1"/>
    <col min="2571" max="2571" width="27.85546875" style="798" customWidth="1"/>
    <col min="2572" max="2572" width="23.42578125" style="798" customWidth="1"/>
    <col min="2573" max="2573" width="21.42578125" style="798" customWidth="1"/>
    <col min="2574" max="2576" width="20.7109375" style="798" customWidth="1"/>
    <col min="2577" max="2577" width="32.28515625" style="798" bestFit="1" customWidth="1"/>
    <col min="2578" max="2578" width="20.7109375" style="798" customWidth="1"/>
    <col min="2579" max="2579" width="22" style="798" customWidth="1"/>
    <col min="2580" max="2583" width="21.28515625" style="798" customWidth="1"/>
    <col min="2584" max="2584" width="22.28515625" style="798" customWidth="1"/>
    <col min="2585" max="2586" width="11.42578125" style="798"/>
    <col min="2587" max="2587" width="14.85546875" style="798" bestFit="1" customWidth="1"/>
    <col min="2588" max="2812" width="11.42578125" style="798"/>
    <col min="2813" max="2813" width="34.42578125" style="798" customWidth="1"/>
    <col min="2814" max="2815" width="19.42578125" style="798" bestFit="1" customWidth="1"/>
    <col min="2816" max="2816" width="19.7109375" style="798" customWidth="1"/>
    <col min="2817" max="2818" width="20.42578125" style="798" customWidth="1"/>
    <col min="2819" max="2820" width="19.7109375" style="798" customWidth="1"/>
    <col min="2821" max="2821" width="25.28515625" style="798" customWidth="1"/>
    <col min="2822" max="2822" width="26" style="798" customWidth="1"/>
    <col min="2823" max="2823" width="22.28515625" style="798" customWidth="1"/>
    <col min="2824" max="2824" width="24.85546875" style="798" customWidth="1"/>
    <col min="2825" max="2825" width="21.140625" style="798" customWidth="1"/>
    <col min="2826" max="2826" width="21.42578125" style="798" customWidth="1"/>
    <col min="2827" max="2827" width="27.85546875" style="798" customWidth="1"/>
    <col min="2828" max="2828" width="23.42578125" style="798" customWidth="1"/>
    <col min="2829" max="2829" width="21.42578125" style="798" customWidth="1"/>
    <col min="2830" max="2832" width="20.7109375" style="798" customWidth="1"/>
    <col min="2833" max="2833" width="32.28515625" style="798" bestFit="1" customWidth="1"/>
    <col min="2834" max="2834" width="20.7109375" style="798" customWidth="1"/>
    <col min="2835" max="2835" width="22" style="798" customWidth="1"/>
    <col min="2836" max="2839" width="21.28515625" style="798" customWidth="1"/>
    <col min="2840" max="2840" width="22.28515625" style="798" customWidth="1"/>
    <col min="2841" max="2842" width="11.42578125" style="798"/>
    <col min="2843" max="2843" width="14.85546875" style="798" bestFit="1" customWidth="1"/>
    <col min="2844" max="3068" width="11.42578125" style="798"/>
    <col min="3069" max="3069" width="34.42578125" style="798" customWidth="1"/>
    <col min="3070" max="3071" width="19.42578125" style="798" bestFit="1" customWidth="1"/>
    <col min="3072" max="3072" width="19.7109375" style="798" customWidth="1"/>
    <col min="3073" max="3074" width="20.42578125" style="798" customWidth="1"/>
    <col min="3075" max="3076" width="19.7109375" style="798" customWidth="1"/>
    <col min="3077" max="3077" width="25.28515625" style="798" customWidth="1"/>
    <col min="3078" max="3078" width="26" style="798" customWidth="1"/>
    <col min="3079" max="3079" width="22.28515625" style="798" customWidth="1"/>
    <col min="3080" max="3080" width="24.85546875" style="798" customWidth="1"/>
    <col min="3081" max="3081" width="21.140625" style="798" customWidth="1"/>
    <col min="3082" max="3082" width="21.42578125" style="798" customWidth="1"/>
    <col min="3083" max="3083" width="27.85546875" style="798" customWidth="1"/>
    <col min="3084" max="3084" width="23.42578125" style="798" customWidth="1"/>
    <col min="3085" max="3085" width="21.42578125" style="798" customWidth="1"/>
    <col min="3086" max="3088" width="20.7109375" style="798" customWidth="1"/>
    <col min="3089" max="3089" width="32.28515625" style="798" bestFit="1" customWidth="1"/>
    <col min="3090" max="3090" width="20.7109375" style="798" customWidth="1"/>
    <col min="3091" max="3091" width="22" style="798" customWidth="1"/>
    <col min="3092" max="3095" width="21.28515625" style="798" customWidth="1"/>
    <col min="3096" max="3096" width="22.28515625" style="798" customWidth="1"/>
    <col min="3097" max="3098" width="11.42578125" style="798"/>
    <col min="3099" max="3099" width="14.85546875" style="798" bestFit="1" customWidth="1"/>
    <col min="3100" max="3324" width="11.42578125" style="798"/>
    <col min="3325" max="3325" width="34.42578125" style="798" customWidth="1"/>
    <col min="3326" max="3327" width="19.42578125" style="798" bestFit="1" customWidth="1"/>
    <col min="3328" max="3328" width="19.7109375" style="798" customWidth="1"/>
    <col min="3329" max="3330" width="20.42578125" style="798" customWidth="1"/>
    <col min="3331" max="3332" width="19.7109375" style="798" customWidth="1"/>
    <col min="3333" max="3333" width="25.28515625" style="798" customWidth="1"/>
    <col min="3334" max="3334" width="26" style="798" customWidth="1"/>
    <col min="3335" max="3335" width="22.28515625" style="798" customWidth="1"/>
    <col min="3336" max="3336" width="24.85546875" style="798" customWidth="1"/>
    <col min="3337" max="3337" width="21.140625" style="798" customWidth="1"/>
    <col min="3338" max="3338" width="21.42578125" style="798" customWidth="1"/>
    <col min="3339" max="3339" width="27.85546875" style="798" customWidth="1"/>
    <col min="3340" max="3340" width="23.42578125" style="798" customWidth="1"/>
    <col min="3341" max="3341" width="21.42578125" style="798" customWidth="1"/>
    <col min="3342" max="3344" width="20.7109375" style="798" customWidth="1"/>
    <col min="3345" max="3345" width="32.28515625" style="798" bestFit="1" customWidth="1"/>
    <col min="3346" max="3346" width="20.7109375" style="798" customWidth="1"/>
    <col min="3347" max="3347" width="22" style="798" customWidth="1"/>
    <col min="3348" max="3351" width="21.28515625" style="798" customWidth="1"/>
    <col min="3352" max="3352" width="22.28515625" style="798" customWidth="1"/>
    <col min="3353" max="3354" width="11.42578125" style="798"/>
    <col min="3355" max="3355" width="14.85546875" style="798" bestFit="1" customWidth="1"/>
    <col min="3356" max="3580" width="11.42578125" style="798"/>
    <col min="3581" max="3581" width="34.42578125" style="798" customWidth="1"/>
    <col min="3582" max="3583" width="19.42578125" style="798" bestFit="1" customWidth="1"/>
    <col min="3584" max="3584" width="19.7109375" style="798" customWidth="1"/>
    <col min="3585" max="3586" width="20.42578125" style="798" customWidth="1"/>
    <col min="3587" max="3588" width="19.7109375" style="798" customWidth="1"/>
    <col min="3589" max="3589" width="25.28515625" style="798" customWidth="1"/>
    <col min="3590" max="3590" width="26" style="798" customWidth="1"/>
    <col min="3591" max="3591" width="22.28515625" style="798" customWidth="1"/>
    <col min="3592" max="3592" width="24.85546875" style="798" customWidth="1"/>
    <col min="3593" max="3593" width="21.140625" style="798" customWidth="1"/>
    <col min="3594" max="3594" width="21.42578125" style="798" customWidth="1"/>
    <col min="3595" max="3595" width="27.85546875" style="798" customWidth="1"/>
    <col min="3596" max="3596" width="23.42578125" style="798" customWidth="1"/>
    <col min="3597" max="3597" width="21.42578125" style="798" customWidth="1"/>
    <col min="3598" max="3600" width="20.7109375" style="798" customWidth="1"/>
    <col min="3601" max="3601" width="32.28515625" style="798" bestFit="1" customWidth="1"/>
    <col min="3602" max="3602" width="20.7109375" style="798" customWidth="1"/>
    <col min="3603" max="3603" width="22" style="798" customWidth="1"/>
    <col min="3604" max="3607" width="21.28515625" style="798" customWidth="1"/>
    <col min="3608" max="3608" width="22.28515625" style="798" customWidth="1"/>
    <col min="3609" max="3610" width="11.42578125" style="798"/>
    <col min="3611" max="3611" width="14.85546875" style="798" bestFit="1" customWidth="1"/>
    <col min="3612" max="3836" width="11.42578125" style="798"/>
    <col min="3837" max="3837" width="34.42578125" style="798" customWidth="1"/>
    <col min="3838" max="3839" width="19.42578125" style="798" bestFit="1" customWidth="1"/>
    <col min="3840" max="3840" width="19.7109375" style="798" customWidth="1"/>
    <col min="3841" max="3842" width="20.42578125" style="798" customWidth="1"/>
    <col min="3843" max="3844" width="19.7109375" style="798" customWidth="1"/>
    <col min="3845" max="3845" width="25.28515625" style="798" customWidth="1"/>
    <col min="3846" max="3846" width="26" style="798" customWidth="1"/>
    <col min="3847" max="3847" width="22.28515625" style="798" customWidth="1"/>
    <col min="3848" max="3848" width="24.85546875" style="798" customWidth="1"/>
    <col min="3849" max="3849" width="21.140625" style="798" customWidth="1"/>
    <col min="3850" max="3850" width="21.42578125" style="798" customWidth="1"/>
    <col min="3851" max="3851" width="27.85546875" style="798" customWidth="1"/>
    <col min="3852" max="3852" width="23.42578125" style="798" customWidth="1"/>
    <col min="3853" max="3853" width="21.42578125" style="798" customWidth="1"/>
    <col min="3854" max="3856" width="20.7109375" style="798" customWidth="1"/>
    <col min="3857" max="3857" width="32.28515625" style="798" bestFit="1" customWidth="1"/>
    <col min="3858" max="3858" width="20.7109375" style="798" customWidth="1"/>
    <col min="3859" max="3859" width="22" style="798" customWidth="1"/>
    <col min="3860" max="3863" width="21.28515625" style="798" customWidth="1"/>
    <col min="3864" max="3864" width="22.28515625" style="798" customWidth="1"/>
    <col min="3865" max="3866" width="11.42578125" style="798"/>
    <col min="3867" max="3867" width="14.85546875" style="798" bestFit="1" customWidth="1"/>
    <col min="3868" max="4092" width="11.42578125" style="798"/>
    <col min="4093" max="4093" width="34.42578125" style="798" customWidth="1"/>
    <col min="4094" max="4095" width="19.42578125" style="798" bestFit="1" customWidth="1"/>
    <col min="4096" max="4096" width="19.7109375" style="798" customWidth="1"/>
    <col min="4097" max="4098" width="20.42578125" style="798" customWidth="1"/>
    <col min="4099" max="4100" width="19.7109375" style="798" customWidth="1"/>
    <col min="4101" max="4101" width="25.28515625" style="798" customWidth="1"/>
    <col min="4102" max="4102" width="26" style="798" customWidth="1"/>
    <col min="4103" max="4103" width="22.28515625" style="798" customWidth="1"/>
    <col min="4104" max="4104" width="24.85546875" style="798" customWidth="1"/>
    <col min="4105" max="4105" width="21.140625" style="798" customWidth="1"/>
    <col min="4106" max="4106" width="21.42578125" style="798" customWidth="1"/>
    <col min="4107" max="4107" width="27.85546875" style="798" customWidth="1"/>
    <col min="4108" max="4108" width="23.42578125" style="798" customWidth="1"/>
    <col min="4109" max="4109" width="21.42578125" style="798" customWidth="1"/>
    <col min="4110" max="4112" width="20.7109375" style="798" customWidth="1"/>
    <col min="4113" max="4113" width="32.28515625" style="798" bestFit="1" customWidth="1"/>
    <col min="4114" max="4114" width="20.7109375" style="798" customWidth="1"/>
    <col min="4115" max="4115" width="22" style="798" customWidth="1"/>
    <col min="4116" max="4119" width="21.28515625" style="798" customWidth="1"/>
    <col min="4120" max="4120" width="22.28515625" style="798" customWidth="1"/>
    <col min="4121" max="4122" width="11.42578125" style="798"/>
    <col min="4123" max="4123" width="14.85546875" style="798" bestFit="1" customWidth="1"/>
    <col min="4124" max="4348" width="11.42578125" style="798"/>
    <col min="4349" max="4349" width="34.42578125" style="798" customWidth="1"/>
    <col min="4350" max="4351" width="19.42578125" style="798" bestFit="1" customWidth="1"/>
    <col min="4352" max="4352" width="19.7109375" style="798" customWidth="1"/>
    <col min="4353" max="4354" width="20.42578125" style="798" customWidth="1"/>
    <col min="4355" max="4356" width="19.7109375" style="798" customWidth="1"/>
    <col min="4357" max="4357" width="25.28515625" style="798" customWidth="1"/>
    <col min="4358" max="4358" width="26" style="798" customWidth="1"/>
    <col min="4359" max="4359" width="22.28515625" style="798" customWidth="1"/>
    <col min="4360" max="4360" width="24.85546875" style="798" customWidth="1"/>
    <col min="4361" max="4361" width="21.140625" style="798" customWidth="1"/>
    <col min="4362" max="4362" width="21.42578125" style="798" customWidth="1"/>
    <col min="4363" max="4363" width="27.85546875" style="798" customWidth="1"/>
    <col min="4364" max="4364" width="23.42578125" style="798" customWidth="1"/>
    <col min="4365" max="4365" width="21.42578125" style="798" customWidth="1"/>
    <col min="4366" max="4368" width="20.7109375" style="798" customWidth="1"/>
    <col min="4369" max="4369" width="32.28515625" style="798" bestFit="1" customWidth="1"/>
    <col min="4370" max="4370" width="20.7109375" style="798" customWidth="1"/>
    <col min="4371" max="4371" width="22" style="798" customWidth="1"/>
    <col min="4372" max="4375" width="21.28515625" style="798" customWidth="1"/>
    <col min="4376" max="4376" width="22.28515625" style="798" customWidth="1"/>
    <col min="4377" max="4378" width="11.42578125" style="798"/>
    <col min="4379" max="4379" width="14.85546875" style="798" bestFit="1" customWidth="1"/>
    <col min="4380" max="4604" width="11.42578125" style="798"/>
    <col min="4605" max="4605" width="34.42578125" style="798" customWidth="1"/>
    <col min="4606" max="4607" width="19.42578125" style="798" bestFit="1" customWidth="1"/>
    <col min="4608" max="4608" width="19.7109375" style="798" customWidth="1"/>
    <col min="4609" max="4610" width="20.42578125" style="798" customWidth="1"/>
    <col min="4611" max="4612" width="19.7109375" style="798" customWidth="1"/>
    <col min="4613" max="4613" width="25.28515625" style="798" customWidth="1"/>
    <col min="4614" max="4614" width="26" style="798" customWidth="1"/>
    <col min="4615" max="4615" width="22.28515625" style="798" customWidth="1"/>
    <col min="4616" max="4616" width="24.85546875" style="798" customWidth="1"/>
    <col min="4617" max="4617" width="21.140625" style="798" customWidth="1"/>
    <col min="4618" max="4618" width="21.42578125" style="798" customWidth="1"/>
    <col min="4619" max="4619" width="27.85546875" style="798" customWidth="1"/>
    <col min="4620" max="4620" width="23.42578125" style="798" customWidth="1"/>
    <col min="4621" max="4621" width="21.42578125" style="798" customWidth="1"/>
    <col min="4622" max="4624" width="20.7109375" style="798" customWidth="1"/>
    <col min="4625" max="4625" width="32.28515625" style="798" bestFit="1" customWidth="1"/>
    <col min="4626" max="4626" width="20.7109375" style="798" customWidth="1"/>
    <col min="4627" max="4627" width="22" style="798" customWidth="1"/>
    <col min="4628" max="4631" width="21.28515625" style="798" customWidth="1"/>
    <col min="4632" max="4632" width="22.28515625" style="798" customWidth="1"/>
    <col min="4633" max="4634" width="11.42578125" style="798"/>
    <col min="4635" max="4635" width="14.85546875" style="798" bestFit="1" customWidth="1"/>
    <col min="4636" max="4860" width="11.42578125" style="798"/>
    <col min="4861" max="4861" width="34.42578125" style="798" customWidth="1"/>
    <col min="4862" max="4863" width="19.42578125" style="798" bestFit="1" customWidth="1"/>
    <col min="4864" max="4864" width="19.7109375" style="798" customWidth="1"/>
    <col min="4865" max="4866" width="20.42578125" style="798" customWidth="1"/>
    <col min="4867" max="4868" width="19.7109375" style="798" customWidth="1"/>
    <col min="4869" max="4869" width="25.28515625" style="798" customWidth="1"/>
    <col min="4870" max="4870" width="26" style="798" customWidth="1"/>
    <col min="4871" max="4871" width="22.28515625" style="798" customWidth="1"/>
    <col min="4872" max="4872" width="24.85546875" style="798" customWidth="1"/>
    <col min="4873" max="4873" width="21.140625" style="798" customWidth="1"/>
    <col min="4874" max="4874" width="21.42578125" style="798" customWidth="1"/>
    <col min="4875" max="4875" width="27.85546875" style="798" customWidth="1"/>
    <col min="4876" max="4876" width="23.42578125" style="798" customWidth="1"/>
    <col min="4877" max="4877" width="21.42578125" style="798" customWidth="1"/>
    <col min="4878" max="4880" width="20.7109375" style="798" customWidth="1"/>
    <col min="4881" max="4881" width="32.28515625" style="798" bestFit="1" customWidth="1"/>
    <col min="4882" max="4882" width="20.7109375" style="798" customWidth="1"/>
    <col min="4883" max="4883" width="22" style="798" customWidth="1"/>
    <col min="4884" max="4887" width="21.28515625" style="798" customWidth="1"/>
    <col min="4888" max="4888" width="22.28515625" style="798" customWidth="1"/>
    <col min="4889" max="4890" width="11.42578125" style="798"/>
    <col min="4891" max="4891" width="14.85546875" style="798" bestFit="1" customWidth="1"/>
    <col min="4892" max="5116" width="11.42578125" style="798"/>
    <col min="5117" max="5117" width="34.42578125" style="798" customWidth="1"/>
    <col min="5118" max="5119" width="19.42578125" style="798" bestFit="1" customWidth="1"/>
    <col min="5120" max="5120" width="19.7109375" style="798" customWidth="1"/>
    <col min="5121" max="5122" width="20.42578125" style="798" customWidth="1"/>
    <col min="5123" max="5124" width="19.7109375" style="798" customWidth="1"/>
    <col min="5125" max="5125" width="25.28515625" style="798" customWidth="1"/>
    <col min="5126" max="5126" width="26" style="798" customWidth="1"/>
    <col min="5127" max="5127" width="22.28515625" style="798" customWidth="1"/>
    <col min="5128" max="5128" width="24.85546875" style="798" customWidth="1"/>
    <col min="5129" max="5129" width="21.140625" style="798" customWidth="1"/>
    <col min="5130" max="5130" width="21.42578125" style="798" customWidth="1"/>
    <col min="5131" max="5131" width="27.85546875" style="798" customWidth="1"/>
    <col min="5132" max="5132" width="23.42578125" style="798" customWidth="1"/>
    <col min="5133" max="5133" width="21.42578125" style="798" customWidth="1"/>
    <col min="5134" max="5136" width="20.7109375" style="798" customWidth="1"/>
    <col min="5137" max="5137" width="32.28515625" style="798" bestFit="1" customWidth="1"/>
    <col min="5138" max="5138" width="20.7109375" style="798" customWidth="1"/>
    <col min="5139" max="5139" width="22" style="798" customWidth="1"/>
    <col min="5140" max="5143" width="21.28515625" style="798" customWidth="1"/>
    <col min="5144" max="5144" width="22.28515625" style="798" customWidth="1"/>
    <col min="5145" max="5146" width="11.42578125" style="798"/>
    <col min="5147" max="5147" width="14.85546875" style="798" bestFit="1" customWidth="1"/>
    <col min="5148" max="5372" width="11.42578125" style="798"/>
    <col min="5373" max="5373" width="34.42578125" style="798" customWidth="1"/>
    <col min="5374" max="5375" width="19.42578125" style="798" bestFit="1" customWidth="1"/>
    <col min="5376" max="5376" width="19.7109375" style="798" customWidth="1"/>
    <col min="5377" max="5378" width="20.42578125" style="798" customWidth="1"/>
    <col min="5379" max="5380" width="19.7109375" style="798" customWidth="1"/>
    <col min="5381" max="5381" width="25.28515625" style="798" customWidth="1"/>
    <col min="5382" max="5382" width="26" style="798" customWidth="1"/>
    <col min="5383" max="5383" width="22.28515625" style="798" customWidth="1"/>
    <col min="5384" max="5384" width="24.85546875" style="798" customWidth="1"/>
    <col min="5385" max="5385" width="21.140625" style="798" customWidth="1"/>
    <col min="5386" max="5386" width="21.42578125" style="798" customWidth="1"/>
    <col min="5387" max="5387" width="27.85546875" style="798" customWidth="1"/>
    <col min="5388" max="5388" width="23.42578125" style="798" customWidth="1"/>
    <col min="5389" max="5389" width="21.42578125" style="798" customWidth="1"/>
    <col min="5390" max="5392" width="20.7109375" style="798" customWidth="1"/>
    <col min="5393" max="5393" width="32.28515625" style="798" bestFit="1" customWidth="1"/>
    <col min="5394" max="5394" width="20.7109375" style="798" customWidth="1"/>
    <col min="5395" max="5395" width="22" style="798" customWidth="1"/>
    <col min="5396" max="5399" width="21.28515625" style="798" customWidth="1"/>
    <col min="5400" max="5400" width="22.28515625" style="798" customWidth="1"/>
    <col min="5401" max="5402" width="11.42578125" style="798"/>
    <col min="5403" max="5403" width="14.85546875" style="798" bestFit="1" customWidth="1"/>
    <col min="5404" max="5628" width="11.42578125" style="798"/>
    <col min="5629" max="5629" width="34.42578125" style="798" customWidth="1"/>
    <col min="5630" max="5631" width="19.42578125" style="798" bestFit="1" customWidth="1"/>
    <col min="5632" max="5632" width="19.7109375" style="798" customWidth="1"/>
    <col min="5633" max="5634" width="20.42578125" style="798" customWidth="1"/>
    <col min="5635" max="5636" width="19.7109375" style="798" customWidth="1"/>
    <col min="5637" max="5637" width="25.28515625" style="798" customWidth="1"/>
    <col min="5638" max="5638" width="26" style="798" customWidth="1"/>
    <col min="5639" max="5639" width="22.28515625" style="798" customWidth="1"/>
    <col min="5640" max="5640" width="24.85546875" style="798" customWidth="1"/>
    <col min="5641" max="5641" width="21.140625" style="798" customWidth="1"/>
    <col min="5642" max="5642" width="21.42578125" style="798" customWidth="1"/>
    <col min="5643" max="5643" width="27.85546875" style="798" customWidth="1"/>
    <col min="5644" max="5644" width="23.42578125" style="798" customWidth="1"/>
    <col min="5645" max="5645" width="21.42578125" style="798" customWidth="1"/>
    <col min="5646" max="5648" width="20.7109375" style="798" customWidth="1"/>
    <col min="5649" max="5649" width="32.28515625" style="798" bestFit="1" customWidth="1"/>
    <col min="5650" max="5650" width="20.7109375" style="798" customWidth="1"/>
    <col min="5651" max="5651" width="22" style="798" customWidth="1"/>
    <col min="5652" max="5655" width="21.28515625" style="798" customWidth="1"/>
    <col min="5656" max="5656" width="22.28515625" style="798" customWidth="1"/>
    <col min="5657" max="5658" width="11.42578125" style="798"/>
    <col min="5659" max="5659" width="14.85546875" style="798" bestFit="1" customWidth="1"/>
    <col min="5660" max="5884" width="11.42578125" style="798"/>
    <col min="5885" max="5885" width="34.42578125" style="798" customWidth="1"/>
    <col min="5886" max="5887" width="19.42578125" style="798" bestFit="1" customWidth="1"/>
    <col min="5888" max="5888" width="19.7109375" style="798" customWidth="1"/>
    <col min="5889" max="5890" width="20.42578125" style="798" customWidth="1"/>
    <col min="5891" max="5892" width="19.7109375" style="798" customWidth="1"/>
    <col min="5893" max="5893" width="25.28515625" style="798" customWidth="1"/>
    <col min="5894" max="5894" width="26" style="798" customWidth="1"/>
    <col min="5895" max="5895" width="22.28515625" style="798" customWidth="1"/>
    <col min="5896" max="5896" width="24.85546875" style="798" customWidth="1"/>
    <col min="5897" max="5897" width="21.140625" style="798" customWidth="1"/>
    <col min="5898" max="5898" width="21.42578125" style="798" customWidth="1"/>
    <col min="5899" max="5899" width="27.85546875" style="798" customWidth="1"/>
    <col min="5900" max="5900" width="23.42578125" style="798" customWidth="1"/>
    <col min="5901" max="5901" width="21.42578125" style="798" customWidth="1"/>
    <col min="5902" max="5904" width="20.7109375" style="798" customWidth="1"/>
    <col min="5905" max="5905" width="32.28515625" style="798" bestFit="1" customWidth="1"/>
    <col min="5906" max="5906" width="20.7109375" style="798" customWidth="1"/>
    <col min="5907" max="5907" width="22" style="798" customWidth="1"/>
    <col min="5908" max="5911" width="21.28515625" style="798" customWidth="1"/>
    <col min="5912" max="5912" width="22.28515625" style="798" customWidth="1"/>
    <col min="5913" max="5914" width="11.42578125" style="798"/>
    <col min="5915" max="5915" width="14.85546875" style="798" bestFit="1" customWidth="1"/>
    <col min="5916" max="6140" width="11.42578125" style="798"/>
    <col min="6141" max="6141" width="34.42578125" style="798" customWidth="1"/>
    <col min="6142" max="6143" width="19.42578125" style="798" bestFit="1" customWidth="1"/>
    <col min="6144" max="6144" width="19.7109375" style="798" customWidth="1"/>
    <col min="6145" max="6146" width="20.42578125" style="798" customWidth="1"/>
    <col min="6147" max="6148" width="19.7109375" style="798" customWidth="1"/>
    <col min="6149" max="6149" width="25.28515625" style="798" customWidth="1"/>
    <col min="6150" max="6150" width="26" style="798" customWidth="1"/>
    <col min="6151" max="6151" width="22.28515625" style="798" customWidth="1"/>
    <col min="6152" max="6152" width="24.85546875" style="798" customWidth="1"/>
    <col min="6153" max="6153" width="21.140625" style="798" customWidth="1"/>
    <col min="6154" max="6154" width="21.42578125" style="798" customWidth="1"/>
    <col min="6155" max="6155" width="27.85546875" style="798" customWidth="1"/>
    <col min="6156" max="6156" width="23.42578125" style="798" customWidth="1"/>
    <col min="6157" max="6157" width="21.42578125" style="798" customWidth="1"/>
    <col min="6158" max="6160" width="20.7109375" style="798" customWidth="1"/>
    <col min="6161" max="6161" width="32.28515625" style="798" bestFit="1" customWidth="1"/>
    <col min="6162" max="6162" width="20.7109375" style="798" customWidth="1"/>
    <col min="6163" max="6163" width="22" style="798" customWidth="1"/>
    <col min="6164" max="6167" width="21.28515625" style="798" customWidth="1"/>
    <col min="6168" max="6168" width="22.28515625" style="798" customWidth="1"/>
    <col min="6169" max="6170" width="11.42578125" style="798"/>
    <col min="6171" max="6171" width="14.85546875" style="798" bestFit="1" customWidth="1"/>
    <col min="6172" max="6396" width="11.42578125" style="798"/>
    <col min="6397" max="6397" width="34.42578125" style="798" customWidth="1"/>
    <col min="6398" max="6399" width="19.42578125" style="798" bestFit="1" customWidth="1"/>
    <col min="6400" max="6400" width="19.7109375" style="798" customWidth="1"/>
    <col min="6401" max="6402" width="20.42578125" style="798" customWidth="1"/>
    <col min="6403" max="6404" width="19.7109375" style="798" customWidth="1"/>
    <col min="6405" max="6405" width="25.28515625" style="798" customWidth="1"/>
    <col min="6406" max="6406" width="26" style="798" customWidth="1"/>
    <col min="6407" max="6407" width="22.28515625" style="798" customWidth="1"/>
    <col min="6408" max="6408" width="24.85546875" style="798" customWidth="1"/>
    <col min="6409" max="6409" width="21.140625" style="798" customWidth="1"/>
    <col min="6410" max="6410" width="21.42578125" style="798" customWidth="1"/>
    <col min="6411" max="6411" width="27.85546875" style="798" customWidth="1"/>
    <col min="6412" max="6412" width="23.42578125" style="798" customWidth="1"/>
    <col min="6413" max="6413" width="21.42578125" style="798" customWidth="1"/>
    <col min="6414" max="6416" width="20.7109375" style="798" customWidth="1"/>
    <col min="6417" max="6417" width="32.28515625" style="798" bestFit="1" customWidth="1"/>
    <col min="6418" max="6418" width="20.7109375" style="798" customWidth="1"/>
    <col min="6419" max="6419" width="22" style="798" customWidth="1"/>
    <col min="6420" max="6423" width="21.28515625" style="798" customWidth="1"/>
    <col min="6424" max="6424" width="22.28515625" style="798" customWidth="1"/>
    <col min="6425" max="6426" width="11.42578125" style="798"/>
    <col min="6427" max="6427" width="14.85546875" style="798" bestFit="1" customWidth="1"/>
    <col min="6428" max="6652" width="11.42578125" style="798"/>
    <col min="6653" max="6653" width="34.42578125" style="798" customWidth="1"/>
    <col min="6654" max="6655" width="19.42578125" style="798" bestFit="1" customWidth="1"/>
    <col min="6656" max="6656" width="19.7109375" style="798" customWidth="1"/>
    <col min="6657" max="6658" width="20.42578125" style="798" customWidth="1"/>
    <col min="6659" max="6660" width="19.7109375" style="798" customWidth="1"/>
    <col min="6661" max="6661" width="25.28515625" style="798" customWidth="1"/>
    <col min="6662" max="6662" width="26" style="798" customWidth="1"/>
    <col min="6663" max="6663" width="22.28515625" style="798" customWidth="1"/>
    <col min="6664" max="6664" width="24.85546875" style="798" customWidth="1"/>
    <col min="6665" max="6665" width="21.140625" style="798" customWidth="1"/>
    <col min="6666" max="6666" width="21.42578125" style="798" customWidth="1"/>
    <col min="6667" max="6667" width="27.85546875" style="798" customWidth="1"/>
    <col min="6668" max="6668" width="23.42578125" style="798" customWidth="1"/>
    <col min="6669" max="6669" width="21.42578125" style="798" customWidth="1"/>
    <col min="6670" max="6672" width="20.7109375" style="798" customWidth="1"/>
    <col min="6673" max="6673" width="32.28515625" style="798" bestFit="1" customWidth="1"/>
    <col min="6674" max="6674" width="20.7109375" style="798" customWidth="1"/>
    <col min="6675" max="6675" width="22" style="798" customWidth="1"/>
    <col min="6676" max="6679" width="21.28515625" style="798" customWidth="1"/>
    <col min="6680" max="6680" width="22.28515625" style="798" customWidth="1"/>
    <col min="6681" max="6682" width="11.42578125" style="798"/>
    <col min="6683" max="6683" width="14.85546875" style="798" bestFit="1" customWidth="1"/>
    <col min="6684" max="6908" width="11.42578125" style="798"/>
    <col min="6909" max="6909" width="34.42578125" style="798" customWidth="1"/>
    <col min="6910" max="6911" width="19.42578125" style="798" bestFit="1" customWidth="1"/>
    <col min="6912" max="6912" width="19.7109375" style="798" customWidth="1"/>
    <col min="6913" max="6914" width="20.42578125" style="798" customWidth="1"/>
    <col min="6915" max="6916" width="19.7109375" style="798" customWidth="1"/>
    <col min="6917" max="6917" width="25.28515625" style="798" customWidth="1"/>
    <col min="6918" max="6918" width="26" style="798" customWidth="1"/>
    <col min="6919" max="6919" width="22.28515625" style="798" customWidth="1"/>
    <col min="6920" max="6920" width="24.85546875" style="798" customWidth="1"/>
    <col min="6921" max="6921" width="21.140625" style="798" customWidth="1"/>
    <col min="6922" max="6922" width="21.42578125" style="798" customWidth="1"/>
    <col min="6923" max="6923" width="27.85546875" style="798" customWidth="1"/>
    <col min="6924" max="6924" width="23.42578125" style="798" customWidth="1"/>
    <col min="6925" max="6925" width="21.42578125" style="798" customWidth="1"/>
    <col min="6926" max="6928" width="20.7109375" style="798" customWidth="1"/>
    <col min="6929" max="6929" width="32.28515625" style="798" bestFit="1" customWidth="1"/>
    <col min="6930" max="6930" width="20.7109375" style="798" customWidth="1"/>
    <col min="6931" max="6931" width="22" style="798" customWidth="1"/>
    <col min="6932" max="6935" width="21.28515625" style="798" customWidth="1"/>
    <col min="6936" max="6936" width="22.28515625" style="798" customWidth="1"/>
    <col min="6937" max="6938" width="11.42578125" style="798"/>
    <col min="6939" max="6939" width="14.85546875" style="798" bestFit="1" customWidth="1"/>
    <col min="6940" max="7164" width="11.42578125" style="798"/>
    <col min="7165" max="7165" width="34.42578125" style="798" customWidth="1"/>
    <col min="7166" max="7167" width="19.42578125" style="798" bestFit="1" customWidth="1"/>
    <col min="7168" max="7168" width="19.7109375" style="798" customWidth="1"/>
    <col min="7169" max="7170" width="20.42578125" style="798" customWidth="1"/>
    <col min="7171" max="7172" width="19.7109375" style="798" customWidth="1"/>
    <col min="7173" max="7173" width="25.28515625" style="798" customWidth="1"/>
    <col min="7174" max="7174" width="26" style="798" customWidth="1"/>
    <col min="7175" max="7175" width="22.28515625" style="798" customWidth="1"/>
    <col min="7176" max="7176" width="24.85546875" style="798" customWidth="1"/>
    <col min="7177" max="7177" width="21.140625" style="798" customWidth="1"/>
    <col min="7178" max="7178" width="21.42578125" style="798" customWidth="1"/>
    <col min="7179" max="7179" width="27.85546875" style="798" customWidth="1"/>
    <col min="7180" max="7180" width="23.42578125" style="798" customWidth="1"/>
    <col min="7181" max="7181" width="21.42578125" style="798" customWidth="1"/>
    <col min="7182" max="7184" width="20.7109375" style="798" customWidth="1"/>
    <col min="7185" max="7185" width="32.28515625" style="798" bestFit="1" customWidth="1"/>
    <col min="7186" max="7186" width="20.7109375" style="798" customWidth="1"/>
    <col min="7187" max="7187" width="22" style="798" customWidth="1"/>
    <col min="7188" max="7191" width="21.28515625" style="798" customWidth="1"/>
    <col min="7192" max="7192" width="22.28515625" style="798" customWidth="1"/>
    <col min="7193" max="7194" width="11.42578125" style="798"/>
    <col min="7195" max="7195" width="14.85546875" style="798" bestFit="1" customWidth="1"/>
    <col min="7196" max="7420" width="11.42578125" style="798"/>
    <col min="7421" max="7421" width="34.42578125" style="798" customWidth="1"/>
    <col min="7422" max="7423" width="19.42578125" style="798" bestFit="1" customWidth="1"/>
    <col min="7424" max="7424" width="19.7109375" style="798" customWidth="1"/>
    <col min="7425" max="7426" width="20.42578125" style="798" customWidth="1"/>
    <col min="7427" max="7428" width="19.7109375" style="798" customWidth="1"/>
    <col min="7429" max="7429" width="25.28515625" style="798" customWidth="1"/>
    <col min="7430" max="7430" width="26" style="798" customWidth="1"/>
    <col min="7431" max="7431" width="22.28515625" style="798" customWidth="1"/>
    <col min="7432" max="7432" width="24.85546875" style="798" customWidth="1"/>
    <col min="7433" max="7433" width="21.140625" style="798" customWidth="1"/>
    <col min="7434" max="7434" width="21.42578125" style="798" customWidth="1"/>
    <col min="7435" max="7435" width="27.85546875" style="798" customWidth="1"/>
    <col min="7436" max="7436" width="23.42578125" style="798" customWidth="1"/>
    <col min="7437" max="7437" width="21.42578125" style="798" customWidth="1"/>
    <col min="7438" max="7440" width="20.7109375" style="798" customWidth="1"/>
    <col min="7441" max="7441" width="32.28515625" style="798" bestFit="1" customWidth="1"/>
    <col min="7442" max="7442" width="20.7109375" style="798" customWidth="1"/>
    <col min="7443" max="7443" width="22" style="798" customWidth="1"/>
    <col min="7444" max="7447" width="21.28515625" style="798" customWidth="1"/>
    <col min="7448" max="7448" width="22.28515625" style="798" customWidth="1"/>
    <col min="7449" max="7450" width="11.42578125" style="798"/>
    <col min="7451" max="7451" width="14.85546875" style="798" bestFit="1" customWidth="1"/>
    <col min="7452" max="7676" width="11.42578125" style="798"/>
    <col min="7677" max="7677" width="34.42578125" style="798" customWidth="1"/>
    <col min="7678" max="7679" width="19.42578125" style="798" bestFit="1" customWidth="1"/>
    <col min="7680" max="7680" width="19.7109375" style="798" customWidth="1"/>
    <col min="7681" max="7682" width="20.42578125" style="798" customWidth="1"/>
    <col min="7683" max="7684" width="19.7109375" style="798" customWidth="1"/>
    <col min="7685" max="7685" width="25.28515625" style="798" customWidth="1"/>
    <col min="7686" max="7686" width="26" style="798" customWidth="1"/>
    <col min="7687" max="7687" width="22.28515625" style="798" customWidth="1"/>
    <col min="7688" max="7688" width="24.85546875" style="798" customWidth="1"/>
    <col min="7689" max="7689" width="21.140625" style="798" customWidth="1"/>
    <col min="7690" max="7690" width="21.42578125" style="798" customWidth="1"/>
    <col min="7691" max="7691" width="27.85546875" style="798" customWidth="1"/>
    <col min="7692" max="7692" width="23.42578125" style="798" customWidth="1"/>
    <col min="7693" max="7693" width="21.42578125" style="798" customWidth="1"/>
    <col min="7694" max="7696" width="20.7109375" style="798" customWidth="1"/>
    <col min="7697" max="7697" width="32.28515625" style="798" bestFit="1" customWidth="1"/>
    <col min="7698" max="7698" width="20.7109375" style="798" customWidth="1"/>
    <col min="7699" max="7699" width="22" style="798" customWidth="1"/>
    <col min="7700" max="7703" width="21.28515625" style="798" customWidth="1"/>
    <col min="7704" max="7704" width="22.28515625" style="798" customWidth="1"/>
    <col min="7705" max="7706" width="11.42578125" style="798"/>
    <col min="7707" max="7707" width="14.85546875" style="798" bestFit="1" customWidth="1"/>
    <col min="7708" max="7932" width="11.42578125" style="798"/>
    <col min="7933" max="7933" width="34.42578125" style="798" customWidth="1"/>
    <col min="7934" max="7935" width="19.42578125" style="798" bestFit="1" customWidth="1"/>
    <col min="7936" max="7936" width="19.7109375" style="798" customWidth="1"/>
    <col min="7937" max="7938" width="20.42578125" style="798" customWidth="1"/>
    <col min="7939" max="7940" width="19.7109375" style="798" customWidth="1"/>
    <col min="7941" max="7941" width="25.28515625" style="798" customWidth="1"/>
    <col min="7942" max="7942" width="26" style="798" customWidth="1"/>
    <col min="7943" max="7943" width="22.28515625" style="798" customWidth="1"/>
    <col min="7944" max="7944" width="24.85546875" style="798" customWidth="1"/>
    <col min="7945" max="7945" width="21.140625" style="798" customWidth="1"/>
    <col min="7946" max="7946" width="21.42578125" style="798" customWidth="1"/>
    <col min="7947" max="7947" width="27.85546875" style="798" customWidth="1"/>
    <col min="7948" max="7948" width="23.42578125" style="798" customWidth="1"/>
    <col min="7949" max="7949" width="21.42578125" style="798" customWidth="1"/>
    <col min="7950" max="7952" width="20.7109375" style="798" customWidth="1"/>
    <col min="7953" max="7953" width="32.28515625" style="798" bestFit="1" customWidth="1"/>
    <col min="7954" max="7954" width="20.7109375" style="798" customWidth="1"/>
    <col min="7955" max="7955" width="22" style="798" customWidth="1"/>
    <col min="7956" max="7959" width="21.28515625" style="798" customWidth="1"/>
    <col min="7960" max="7960" width="22.28515625" style="798" customWidth="1"/>
    <col min="7961" max="7962" width="11.42578125" style="798"/>
    <col min="7963" max="7963" width="14.85546875" style="798" bestFit="1" customWidth="1"/>
    <col min="7964" max="8188" width="11.42578125" style="798"/>
    <col min="8189" max="8189" width="34.42578125" style="798" customWidth="1"/>
    <col min="8190" max="8191" width="19.42578125" style="798" bestFit="1" customWidth="1"/>
    <col min="8192" max="8192" width="19.7109375" style="798" customWidth="1"/>
    <col min="8193" max="8194" width="20.42578125" style="798" customWidth="1"/>
    <col min="8195" max="8196" width="19.7109375" style="798" customWidth="1"/>
    <col min="8197" max="8197" width="25.28515625" style="798" customWidth="1"/>
    <col min="8198" max="8198" width="26" style="798" customWidth="1"/>
    <col min="8199" max="8199" width="22.28515625" style="798" customWidth="1"/>
    <col min="8200" max="8200" width="24.85546875" style="798" customWidth="1"/>
    <col min="8201" max="8201" width="21.140625" style="798" customWidth="1"/>
    <col min="8202" max="8202" width="21.42578125" style="798" customWidth="1"/>
    <col min="8203" max="8203" width="27.85546875" style="798" customWidth="1"/>
    <col min="8204" max="8204" width="23.42578125" style="798" customWidth="1"/>
    <col min="8205" max="8205" width="21.42578125" style="798" customWidth="1"/>
    <col min="8206" max="8208" width="20.7109375" style="798" customWidth="1"/>
    <col min="8209" max="8209" width="32.28515625" style="798" bestFit="1" customWidth="1"/>
    <col min="8210" max="8210" width="20.7109375" style="798" customWidth="1"/>
    <col min="8211" max="8211" width="22" style="798" customWidth="1"/>
    <col min="8212" max="8215" width="21.28515625" style="798" customWidth="1"/>
    <col min="8216" max="8216" width="22.28515625" style="798" customWidth="1"/>
    <col min="8217" max="8218" width="11.42578125" style="798"/>
    <col min="8219" max="8219" width="14.85546875" style="798" bestFit="1" customWidth="1"/>
    <col min="8220" max="8444" width="11.42578125" style="798"/>
    <col min="8445" max="8445" width="34.42578125" style="798" customWidth="1"/>
    <col min="8446" max="8447" width="19.42578125" style="798" bestFit="1" customWidth="1"/>
    <col min="8448" max="8448" width="19.7109375" style="798" customWidth="1"/>
    <col min="8449" max="8450" width="20.42578125" style="798" customWidth="1"/>
    <col min="8451" max="8452" width="19.7109375" style="798" customWidth="1"/>
    <col min="8453" max="8453" width="25.28515625" style="798" customWidth="1"/>
    <col min="8454" max="8454" width="26" style="798" customWidth="1"/>
    <col min="8455" max="8455" width="22.28515625" style="798" customWidth="1"/>
    <col min="8456" max="8456" width="24.85546875" style="798" customWidth="1"/>
    <col min="8457" max="8457" width="21.140625" style="798" customWidth="1"/>
    <col min="8458" max="8458" width="21.42578125" style="798" customWidth="1"/>
    <col min="8459" max="8459" width="27.85546875" style="798" customWidth="1"/>
    <col min="8460" max="8460" width="23.42578125" style="798" customWidth="1"/>
    <col min="8461" max="8461" width="21.42578125" style="798" customWidth="1"/>
    <col min="8462" max="8464" width="20.7109375" style="798" customWidth="1"/>
    <col min="8465" max="8465" width="32.28515625" style="798" bestFit="1" customWidth="1"/>
    <col min="8466" max="8466" width="20.7109375" style="798" customWidth="1"/>
    <col min="8467" max="8467" width="22" style="798" customWidth="1"/>
    <col min="8468" max="8471" width="21.28515625" style="798" customWidth="1"/>
    <col min="8472" max="8472" width="22.28515625" style="798" customWidth="1"/>
    <col min="8473" max="8474" width="11.42578125" style="798"/>
    <col min="8475" max="8475" width="14.85546875" style="798" bestFit="1" customWidth="1"/>
    <col min="8476" max="8700" width="11.42578125" style="798"/>
    <col min="8701" max="8701" width="34.42578125" style="798" customWidth="1"/>
    <col min="8702" max="8703" width="19.42578125" style="798" bestFit="1" customWidth="1"/>
    <col min="8704" max="8704" width="19.7109375" style="798" customWidth="1"/>
    <col min="8705" max="8706" width="20.42578125" style="798" customWidth="1"/>
    <col min="8707" max="8708" width="19.7109375" style="798" customWidth="1"/>
    <col min="8709" max="8709" width="25.28515625" style="798" customWidth="1"/>
    <col min="8710" max="8710" width="26" style="798" customWidth="1"/>
    <col min="8711" max="8711" width="22.28515625" style="798" customWidth="1"/>
    <col min="8712" max="8712" width="24.85546875" style="798" customWidth="1"/>
    <col min="8713" max="8713" width="21.140625" style="798" customWidth="1"/>
    <col min="8714" max="8714" width="21.42578125" style="798" customWidth="1"/>
    <col min="8715" max="8715" width="27.85546875" style="798" customWidth="1"/>
    <col min="8716" max="8716" width="23.42578125" style="798" customWidth="1"/>
    <col min="8717" max="8717" width="21.42578125" style="798" customWidth="1"/>
    <col min="8718" max="8720" width="20.7109375" style="798" customWidth="1"/>
    <col min="8721" max="8721" width="32.28515625" style="798" bestFit="1" customWidth="1"/>
    <col min="8722" max="8722" width="20.7109375" style="798" customWidth="1"/>
    <col min="8723" max="8723" width="22" style="798" customWidth="1"/>
    <col min="8724" max="8727" width="21.28515625" style="798" customWidth="1"/>
    <col min="8728" max="8728" width="22.28515625" style="798" customWidth="1"/>
    <col min="8729" max="8730" width="11.42578125" style="798"/>
    <col min="8731" max="8731" width="14.85546875" style="798" bestFit="1" customWidth="1"/>
    <col min="8732" max="8956" width="11.42578125" style="798"/>
    <col min="8957" max="8957" width="34.42578125" style="798" customWidth="1"/>
    <col min="8958" max="8959" width="19.42578125" style="798" bestFit="1" customWidth="1"/>
    <col min="8960" max="8960" width="19.7109375" style="798" customWidth="1"/>
    <col min="8961" max="8962" width="20.42578125" style="798" customWidth="1"/>
    <col min="8963" max="8964" width="19.7109375" style="798" customWidth="1"/>
    <col min="8965" max="8965" width="25.28515625" style="798" customWidth="1"/>
    <col min="8966" max="8966" width="26" style="798" customWidth="1"/>
    <col min="8967" max="8967" width="22.28515625" style="798" customWidth="1"/>
    <col min="8968" max="8968" width="24.85546875" style="798" customWidth="1"/>
    <col min="8969" max="8969" width="21.140625" style="798" customWidth="1"/>
    <col min="8970" max="8970" width="21.42578125" style="798" customWidth="1"/>
    <col min="8971" max="8971" width="27.85546875" style="798" customWidth="1"/>
    <col min="8972" max="8972" width="23.42578125" style="798" customWidth="1"/>
    <col min="8973" max="8973" width="21.42578125" style="798" customWidth="1"/>
    <col min="8974" max="8976" width="20.7109375" style="798" customWidth="1"/>
    <col min="8977" max="8977" width="32.28515625" style="798" bestFit="1" customWidth="1"/>
    <col min="8978" max="8978" width="20.7109375" style="798" customWidth="1"/>
    <col min="8979" max="8979" width="22" style="798" customWidth="1"/>
    <col min="8980" max="8983" width="21.28515625" style="798" customWidth="1"/>
    <col min="8984" max="8984" width="22.28515625" style="798" customWidth="1"/>
    <col min="8985" max="8986" width="11.42578125" style="798"/>
    <col min="8987" max="8987" width="14.85546875" style="798" bestFit="1" customWidth="1"/>
    <col min="8988" max="9212" width="11.42578125" style="798"/>
    <col min="9213" max="9213" width="34.42578125" style="798" customWidth="1"/>
    <col min="9214" max="9215" width="19.42578125" style="798" bestFit="1" customWidth="1"/>
    <col min="9216" max="9216" width="19.7109375" style="798" customWidth="1"/>
    <col min="9217" max="9218" width="20.42578125" style="798" customWidth="1"/>
    <col min="9219" max="9220" width="19.7109375" style="798" customWidth="1"/>
    <col min="9221" max="9221" width="25.28515625" style="798" customWidth="1"/>
    <col min="9222" max="9222" width="26" style="798" customWidth="1"/>
    <col min="9223" max="9223" width="22.28515625" style="798" customWidth="1"/>
    <col min="9224" max="9224" width="24.85546875" style="798" customWidth="1"/>
    <col min="9225" max="9225" width="21.140625" style="798" customWidth="1"/>
    <col min="9226" max="9226" width="21.42578125" style="798" customWidth="1"/>
    <col min="9227" max="9227" width="27.85546875" style="798" customWidth="1"/>
    <col min="9228" max="9228" width="23.42578125" style="798" customWidth="1"/>
    <col min="9229" max="9229" width="21.42578125" style="798" customWidth="1"/>
    <col min="9230" max="9232" width="20.7109375" style="798" customWidth="1"/>
    <col min="9233" max="9233" width="32.28515625" style="798" bestFit="1" customWidth="1"/>
    <col min="9234" max="9234" width="20.7109375" style="798" customWidth="1"/>
    <col min="9235" max="9235" width="22" style="798" customWidth="1"/>
    <col min="9236" max="9239" width="21.28515625" style="798" customWidth="1"/>
    <col min="9240" max="9240" width="22.28515625" style="798" customWidth="1"/>
    <col min="9241" max="9242" width="11.42578125" style="798"/>
    <col min="9243" max="9243" width="14.85546875" style="798" bestFit="1" customWidth="1"/>
    <col min="9244" max="9468" width="11.42578125" style="798"/>
    <col min="9469" max="9469" width="34.42578125" style="798" customWidth="1"/>
    <col min="9470" max="9471" width="19.42578125" style="798" bestFit="1" customWidth="1"/>
    <col min="9472" max="9472" width="19.7109375" style="798" customWidth="1"/>
    <col min="9473" max="9474" width="20.42578125" style="798" customWidth="1"/>
    <col min="9475" max="9476" width="19.7109375" style="798" customWidth="1"/>
    <col min="9477" max="9477" width="25.28515625" style="798" customWidth="1"/>
    <col min="9478" max="9478" width="26" style="798" customWidth="1"/>
    <col min="9479" max="9479" width="22.28515625" style="798" customWidth="1"/>
    <col min="9480" max="9480" width="24.85546875" style="798" customWidth="1"/>
    <col min="9481" max="9481" width="21.140625" style="798" customWidth="1"/>
    <col min="9482" max="9482" width="21.42578125" style="798" customWidth="1"/>
    <col min="9483" max="9483" width="27.85546875" style="798" customWidth="1"/>
    <col min="9484" max="9484" width="23.42578125" style="798" customWidth="1"/>
    <col min="9485" max="9485" width="21.42578125" style="798" customWidth="1"/>
    <col min="9486" max="9488" width="20.7109375" style="798" customWidth="1"/>
    <col min="9489" max="9489" width="32.28515625" style="798" bestFit="1" customWidth="1"/>
    <col min="9490" max="9490" width="20.7109375" style="798" customWidth="1"/>
    <col min="9491" max="9491" width="22" style="798" customWidth="1"/>
    <col min="9492" max="9495" width="21.28515625" style="798" customWidth="1"/>
    <col min="9496" max="9496" width="22.28515625" style="798" customWidth="1"/>
    <col min="9497" max="9498" width="11.42578125" style="798"/>
    <col min="9499" max="9499" width="14.85546875" style="798" bestFit="1" customWidth="1"/>
    <col min="9500" max="9724" width="11.42578125" style="798"/>
    <col min="9725" max="9725" width="34.42578125" style="798" customWidth="1"/>
    <col min="9726" max="9727" width="19.42578125" style="798" bestFit="1" customWidth="1"/>
    <col min="9728" max="9728" width="19.7109375" style="798" customWidth="1"/>
    <col min="9729" max="9730" width="20.42578125" style="798" customWidth="1"/>
    <col min="9731" max="9732" width="19.7109375" style="798" customWidth="1"/>
    <col min="9733" max="9733" width="25.28515625" style="798" customWidth="1"/>
    <col min="9734" max="9734" width="26" style="798" customWidth="1"/>
    <col min="9735" max="9735" width="22.28515625" style="798" customWidth="1"/>
    <col min="9736" max="9736" width="24.85546875" style="798" customWidth="1"/>
    <col min="9737" max="9737" width="21.140625" style="798" customWidth="1"/>
    <col min="9738" max="9738" width="21.42578125" style="798" customWidth="1"/>
    <col min="9739" max="9739" width="27.85546875" style="798" customWidth="1"/>
    <col min="9740" max="9740" width="23.42578125" style="798" customWidth="1"/>
    <col min="9741" max="9741" width="21.42578125" style="798" customWidth="1"/>
    <col min="9742" max="9744" width="20.7109375" style="798" customWidth="1"/>
    <col min="9745" max="9745" width="32.28515625" style="798" bestFit="1" customWidth="1"/>
    <col min="9746" max="9746" width="20.7109375" style="798" customWidth="1"/>
    <col min="9747" max="9747" width="22" style="798" customWidth="1"/>
    <col min="9748" max="9751" width="21.28515625" style="798" customWidth="1"/>
    <col min="9752" max="9752" width="22.28515625" style="798" customWidth="1"/>
    <col min="9753" max="9754" width="11.42578125" style="798"/>
    <col min="9755" max="9755" width="14.85546875" style="798" bestFit="1" customWidth="1"/>
    <col min="9756" max="9980" width="11.42578125" style="798"/>
    <col min="9981" max="9981" width="34.42578125" style="798" customWidth="1"/>
    <col min="9982" max="9983" width="19.42578125" style="798" bestFit="1" customWidth="1"/>
    <col min="9984" max="9984" width="19.7109375" style="798" customWidth="1"/>
    <col min="9985" max="9986" width="20.42578125" style="798" customWidth="1"/>
    <col min="9987" max="9988" width="19.7109375" style="798" customWidth="1"/>
    <col min="9989" max="9989" width="25.28515625" style="798" customWidth="1"/>
    <col min="9990" max="9990" width="26" style="798" customWidth="1"/>
    <col min="9991" max="9991" width="22.28515625" style="798" customWidth="1"/>
    <col min="9992" max="9992" width="24.85546875" style="798" customWidth="1"/>
    <col min="9993" max="9993" width="21.140625" style="798" customWidth="1"/>
    <col min="9994" max="9994" width="21.42578125" style="798" customWidth="1"/>
    <col min="9995" max="9995" width="27.85546875" style="798" customWidth="1"/>
    <col min="9996" max="9996" width="23.42578125" style="798" customWidth="1"/>
    <col min="9997" max="9997" width="21.42578125" style="798" customWidth="1"/>
    <col min="9998" max="10000" width="20.7109375" style="798" customWidth="1"/>
    <col min="10001" max="10001" width="32.28515625" style="798" bestFit="1" customWidth="1"/>
    <col min="10002" max="10002" width="20.7109375" style="798" customWidth="1"/>
    <col min="10003" max="10003" width="22" style="798" customWidth="1"/>
    <col min="10004" max="10007" width="21.28515625" style="798" customWidth="1"/>
    <col min="10008" max="10008" width="22.28515625" style="798" customWidth="1"/>
    <col min="10009" max="10010" width="11.42578125" style="798"/>
    <col min="10011" max="10011" width="14.85546875" style="798" bestFit="1" customWidth="1"/>
    <col min="10012" max="10236" width="11.42578125" style="798"/>
    <col min="10237" max="10237" width="34.42578125" style="798" customWidth="1"/>
    <col min="10238" max="10239" width="19.42578125" style="798" bestFit="1" customWidth="1"/>
    <col min="10240" max="10240" width="19.7109375" style="798" customWidth="1"/>
    <col min="10241" max="10242" width="20.42578125" style="798" customWidth="1"/>
    <col min="10243" max="10244" width="19.7109375" style="798" customWidth="1"/>
    <col min="10245" max="10245" width="25.28515625" style="798" customWidth="1"/>
    <col min="10246" max="10246" width="26" style="798" customWidth="1"/>
    <col min="10247" max="10247" width="22.28515625" style="798" customWidth="1"/>
    <col min="10248" max="10248" width="24.85546875" style="798" customWidth="1"/>
    <col min="10249" max="10249" width="21.140625" style="798" customWidth="1"/>
    <col min="10250" max="10250" width="21.42578125" style="798" customWidth="1"/>
    <col min="10251" max="10251" width="27.85546875" style="798" customWidth="1"/>
    <col min="10252" max="10252" width="23.42578125" style="798" customWidth="1"/>
    <col min="10253" max="10253" width="21.42578125" style="798" customWidth="1"/>
    <col min="10254" max="10256" width="20.7109375" style="798" customWidth="1"/>
    <col min="10257" max="10257" width="32.28515625" style="798" bestFit="1" customWidth="1"/>
    <col min="10258" max="10258" width="20.7109375" style="798" customWidth="1"/>
    <col min="10259" max="10259" width="22" style="798" customWidth="1"/>
    <col min="10260" max="10263" width="21.28515625" style="798" customWidth="1"/>
    <col min="10264" max="10264" width="22.28515625" style="798" customWidth="1"/>
    <col min="10265" max="10266" width="11.42578125" style="798"/>
    <col min="10267" max="10267" width="14.85546875" style="798" bestFit="1" customWidth="1"/>
    <col min="10268" max="10492" width="11.42578125" style="798"/>
    <col min="10493" max="10493" width="34.42578125" style="798" customWidth="1"/>
    <col min="10494" max="10495" width="19.42578125" style="798" bestFit="1" customWidth="1"/>
    <col min="10496" max="10496" width="19.7109375" style="798" customWidth="1"/>
    <col min="10497" max="10498" width="20.42578125" style="798" customWidth="1"/>
    <col min="10499" max="10500" width="19.7109375" style="798" customWidth="1"/>
    <col min="10501" max="10501" width="25.28515625" style="798" customWidth="1"/>
    <col min="10502" max="10502" width="26" style="798" customWidth="1"/>
    <col min="10503" max="10503" width="22.28515625" style="798" customWidth="1"/>
    <col min="10504" max="10504" width="24.85546875" style="798" customWidth="1"/>
    <col min="10505" max="10505" width="21.140625" style="798" customWidth="1"/>
    <col min="10506" max="10506" width="21.42578125" style="798" customWidth="1"/>
    <col min="10507" max="10507" width="27.85546875" style="798" customWidth="1"/>
    <col min="10508" max="10508" width="23.42578125" style="798" customWidth="1"/>
    <col min="10509" max="10509" width="21.42578125" style="798" customWidth="1"/>
    <col min="10510" max="10512" width="20.7109375" style="798" customWidth="1"/>
    <col min="10513" max="10513" width="32.28515625" style="798" bestFit="1" customWidth="1"/>
    <col min="10514" max="10514" width="20.7109375" style="798" customWidth="1"/>
    <col min="10515" max="10515" width="22" style="798" customWidth="1"/>
    <col min="10516" max="10519" width="21.28515625" style="798" customWidth="1"/>
    <col min="10520" max="10520" width="22.28515625" style="798" customWidth="1"/>
    <col min="10521" max="10522" width="11.42578125" style="798"/>
    <col min="10523" max="10523" width="14.85546875" style="798" bestFit="1" customWidth="1"/>
    <col min="10524" max="10748" width="11.42578125" style="798"/>
    <col min="10749" max="10749" width="34.42578125" style="798" customWidth="1"/>
    <col min="10750" max="10751" width="19.42578125" style="798" bestFit="1" customWidth="1"/>
    <col min="10752" max="10752" width="19.7109375" style="798" customWidth="1"/>
    <col min="10753" max="10754" width="20.42578125" style="798" customWidth="1"/>
    <col min="10755" max="10756" width="19.7109375" style="798" customWidth="1"/>
    <col min="10757" max="10757" width="25.28515625" style="798" customWidth="1"/>
    <col min="10758" max="10758" width="26" style="798" customWidth="1"/>
    <col min="10759" max="10759" width="22.28515625" style="798" customWidth="1"/>
    <col min="10760" max="10760" width="24.85546875" style="798" customWidth="1"/>
    <col min="10761" max="10761" width="21.140625" style="798" customWidth="1"/>
    <col min="10762" max="10762" width="21.42578125" style="798" customWidth="1"/>
    <col min="10763" max="10763" width="27.85546875" style="798" customWidth="1"/>
    <col min="10764" max="10764" width="23.42578125" style="798" customWidth="1"/>
    <col min="10765" max="10765" width="21.42578125" style="798" customWidth="1"/>
    <col min="10766" max="10768" width="20.7109375" style="798" customWidth="1"/>
    <col min="10769" max="10769" width="32.28515625" style="798" bestFit="1" customWidth="1"/>
    <col min="10770" max="10770" width="20.7109375" style="798" customWidth="1"/>
    <col min="10771" max="10771" width="22" style="798" customWidth="1"/>
    <col min="10772" max="10775" width="21.28515625" style="798" customWidth="1"/>
    <col min="10776" max="10776" width="22.28515625" style="798" customWidth="1"/>
    <col min="10777" max="10778" width="11.42578125" style="798"/>
    <col min="10779" max="10779" width="14.85546875" style="798" bestFit="1" customWidth="1"/>
    <col min="10780" max="11004" width="11.42578125" style="798"/>
    <col min="11005" max="11005" width="34.42578125" style="798" customWidth="1"/>
    <col min="11006" max="11007" width="19.42578125" style="798" bestFit="1" customWidth="1"/>
    <col min="11008" max="11008" width="19.7109375" style="798" customWidth="1"/>
    <col min="11009" max="11010" width="20.42578125" style="798" customWidth="1"/>
    <col min="11011" max="11012" width="19.7109375" style="798" customWidth="1"/>
    <col min="11013" max="11013" width="25.28515625" style="798" customWidth="1"/>
    <col min="11014" max="11014" width="26" style="798" customWidth="1"/>
    <col min="11015" max="11015" width="22.28515625" style="798" customWidth="1"/>
    <col min="11016" max="11016" width="24.85546875" style="798" customWidth="1"/>
    <col min="11017" max="11017" width="21.140625" style="798" customWidth="1"/>
    <col min="11018" max="11018" width="21.42578125" style="798" customWidth="1"/>
    <col min="11019" max="11019" width="27.85546875" style="798" customWidth="1"/>
    <col min="11020" max="11020" width="23.42578125" style="798" customWidth="1"/>
    <col min="11021" max="11021" width="21.42578125" style="798" customWidth="1"/>
    <col min="11022" max="11024" width="20.7109375" style="798" customWidth="1"/>
    <col min="11025" max="11025" width="32.28515625" style="798" bestFit="1" customWidth="1"/>
    <col min="11026" max="11026" width="20.7109375" style="798" customWidth="1"/>
    <col min="11027" max="11027" width="22" style="798" customWidth="1"/>
    <col min="11028" max="11031" width="21.28515625" style="798" customWidth="1"/>
    <col min="11032" max="11032" width="22.28515625" style="798" customWidth="1"/>
    <col min="11033" max="11034" width="11.42578125" style="798"/>
    <col min="11035" max="11035" width="14.85546875" style="798" bestFit="1" customWidth="1"/>
    <col min="11036" max="11260" width="11.42578125" style="798"/>
    <col min="11261" max="11261" width="34.42578125" style="798" customWidth="1"/>
    <col min="11262" max="11263" width="19.42578125" style="798" bestFit="1" customWidth="1"/>
    <col min="11264" max="11264" width="19.7109375" style="798" customWidth="1"/>
    <col min="11265" max="11266" width="20.42578125" style="798" customWidth="1"/>
    <col min="11267" max="11268" width="19.7109375" style="798" customWidth="1"/>
    <col min="11269" max="11269" width="25.28515625" style="798" customWidth="1"/>
    <col min="11270" max="11270" width="26" style="798" customWidth="1"/>
    <col min="11271" max="11271" width="22.28515625" style="798" customWidth="1"/>
    <col min="11272" max="11272" width="24.85546875" style="798" customWidth="1"/>
    <col min="11273" max="11273" width="21.140625" style="798" customWidth="1"/>
    <col min="11274" max="11274" width="21.42578125" style="798" customWidth="1"/>
    <col min="11275" max="11275" width="27.85546875" style="798" customWidth="1"/>
    <col min="11276" max="11276" width="23.42578125" style="798" customWidth="1"/>
    <col min="11277" max="11277" width="21.42578125" style="798" customWidth="1"/>
    <col min="11278" max="11280" width="20.7109375" style="798" customWidth="1"/>
    <col min="11281" max="11281" width="32.28515625" style="798" bestFit="1" customWidth="1"/>
    <col min="11282" max="11282" width="20.7109375" style="798" customWidth="1"/>
    <col min="11283" max="11283" width="22" style="798" customWidth="1"/>
    <col min="11284" max="11287" width="21.28515625" style="798" customWidth="1"/>
    <col min="11288" max="11288" width="22.28515625" style="798" customWidth="1"/>
    <col min="11289" max="11290" width="11.42578125" style="798"/>
    <col min="11291" max="11291" width="14.85546875" style="798" bestFit="1" customWidth="1"/>
    <col min="11292" max="11516" width="11.42578125" style="798"/>
    <col min="11517" max="11517" width="34.42578125" style="798" customWidth="1"/>
    <col min="11518" max="11519" width="19.42578125" style="798" bestFit="1" customWidth="1"/>
    <col min="11520" max="11520" width="19.7109375" style="798" customWidth="1"/>
    <col min="11521" max="11522" width="20.42578125" style="798" customWidth="1"/>
    <col min="11523" max="11524" width="19.7109375" style="798" customWidth="1"/>
    <col min="11525" max="11525" width="25.28515625" style="798" customWidth="1"/>
    <col min="11526" max="11526" width="26" style="798" customWidth="1"/>
    <col min="11527" max="11527" width="22.28515625" style="798" customWidth="1"/>
    <col min="11528" max="11528" width="24.85546875" style="798" customWidth="1"/>
    <col min="11529" max="11529" width="21.140625" style="798" customWidth="1"/>
    <col min="11530" max="11530" width="21.42578125" style="798" customWidth="1"/>
    <col min="11531" max="11531" width="27.85546875" style="798" customWidth="1"/>
    <col min="11532" max="11532" width="23.42578125" style="798" customWidth="1"/>
    <col min="11533" max="11533" width="21.42578125" style="798" customWidth="1"/>
    <col min="11534" max="11536" width="20.7109375" style="798" customWidth="1"/>
    <col min="11537" max="11537" width="32.28515625" style="798" bestFit="1" customWidth="1"/>
    <col min="11538" max="11538" width="20.7109375" style="798" customWidth="1"/>
    <col min="11539" max="11539" width="22" style="798" customWidth="1"/>
    <col min="11540" max="11543" width="21.28515625" style="798" customWidth="1"/>
    <col min="11544" max="11544" width="22.28515625" style="798" customWidth="1"/>
    <col min="11545" max="11546" width="11.42578125" style="798"/>
    <col min="11547" max="11547" width="14.85546875" style="798" bestFit="1" customWidth="1"/>
    <col min="11548" max="11772" width="11.42578125" style="798"/>
    <col min="11773" max="11773" width="34.42578125" style="798" customWidth="1"/>
    <col min="11774" max="11775" width="19.42578125" style="798" bestFit="1" customWidth="1"/>
    <col min="11776" max="11776" width="19.7109375" style="798" customWidth="1"/>
    <col min="11777" max="11778" width="20.42578125" style="798" customWidth="1"/>
    <col min="11779" max="11780" width="19.7109375" style="798" customWidth="1"/>
    <col min="11781" max="11781" width="25.28515625" style="798" customWidth="1"/>
    <col min="11782" max="11782" width="26" style="798" customWidth="1"/>
    <col min="11783" max="11783" width="22.28515625" style="798" customWidth="1"/>
    <col min="11784" max="11784" width="24.85546875" style="798" customWidth="1"/>
    <col min="11785" max="11785" width="21.140625" style="798" customWidth="1"/>
    <col min="11786" max="11786" width="21.42578125" style="798" customWidth="1"/>
    <col min="11787" max="11787" width="27.85546875" style="798" customWidth="1"/>
    <col min="11788" max="11788" width="23.42578125" style="798" customWidth="1"/>
    <col min="11789" max="11789" width="21.42578125" style="798" customWidth="1"/>
    <col min="11790" max="11792" width="20.7109375" style="798" customWidth="1"/>
    <col min="11793" max="11793" width="32.28515625" style="798" bestFit="1" customWidth="1"/>
    <col min="11794" max="11794" width="20.7109375" style="798" customWidth="1"/>
    <col min="11795" max="11795" width="22" style="798" customWidth="1"/>
    <col min="11796" max="11799" width="21.28515625" style="798" customWidth="1"/>
    <col min="11800" max="11800" width="22.28515625" style="798" customWidth="1"/>
    <col min="11801" max="11802" width="11.42578125" style="798"/>
    <col min="11803" max="11803" width="14.85546875" style="798" bestFit="1" customWidth="1"/>
    <col min="11804" max="12028" width="11.42578125" style="798"/>
    <col min="12029" max="12029" width="34.42578125" style="798" customWidth="1"/>
    <col min="12030" max="12031" width="19.42578125" style="798" bestFit="1" customWidth="1"/>
    <col min="12032" max="12032" width="19.7109375" style="798" customWidth="1"/>
    <col min="12033" max="12034" width="20.42578125" style="798" customWidth="1"/>
    <col min="12035" max="12036" width="19.7109375" style="798" customWidth="1"/>
    <col min="12037" max="12037" width="25.28515625" style="798" customWidth="1"/>
    <col min="12038" max="12038" width="26" style="798" customWidth="1"/>
    <col min="12039" max="12039" width="22.28515625" style="798" customWidth="1"/>
    <col min="12040" max="12040" width="24.85546875" style="798" customWidth="1"/>
    <col min="12041" max="12041" width="21.140625" style="798" customWidth="1"/>
    <col min="12042" max="12042" width="21.42578125" style="798" customWidth="1"/>
    <col min="12043" max="12043" width="27.85546875" style="798" customWidth="1"/>
    <col min="12044" max="12044" width="23.42578125" style="798" customWidth="1"/>
    <col min="12045" max="12045" width="21.42578125" style="798" customWidth="1"/>
    <col min="12046" max="12048" width="20.7109375" style="798" customWidth="1"/>
    <col min="12049" max="12049" width="32.28515625" style="798" bestFit="1" customWidth="1"/>
    <col min="12050" max="12050" width="20.7109375" style="798" customWidth="1"/>
    <col min="12051" max="12051" width="22" style="798" customWidth="1"/>
    <col min="12052" max="12055" width="21.28515625" style="798" customWidth="1"/>
    <col min="12056" max="12056" width="22.28515625" style="798" customWidth="1"/>
    <col min="12057" max="12058" width="11.42578125" style="798"/>
    <col min="12059" max="12059" width="14.85546875" style="798" bestFit="1" customWidth="1"/>
    <col min="12060" max="12284" width="11.42578125" style="798"/>
    <col min="12285" max="12285" width="34.42578125" style="798" customWidth="1"/>
    <col min="12286" max="12287" width="19.42578125" style="798" bestFit="1" customWidth="1"/>
    <col min="12288" max="12288" width="19.7109375" style="798" customWidth="1"/>
    <col min="12289" max="12290" width="20.42578125" style="798" customWidth="1"/>
    <col min="12291" max="12292" width="19.7109375" style="798" customWidth="1"/>
    <col min="12293" max="12293" width="25.28515625" style="798" customWidth="1"/>
    <col min="12294" max="12294" width="26" style="798" customWidth="1"/>
    <col min="12295" max="12295" width="22.28515625" style="798" customWidth="1"/>
    <col min="12296" max="12296" width="24.85546875" style="798" customWidth="1"/>
    <col min="12297" max="12297" width="21.140625" style="798" customWidth="1"/>
    <col min="12298" max="12298" width="21.42578125" style="798" customWidth="1"/>
    <col min="12299" max="12299" width="27.85546875" style="798" customWidth="1"/>
    <col min="12300" max="12300" width="23.42578125" style="798" customWidth="1"/>
    <col min="12301" max="12301" width="21.42578125" style="798" customWidth="1"/>
    <col min="12302" max="12304" width="20.7109375" style="798" customWidth="1"/>
    <col min="12305" max="12305" width="32.28515625" style="798" bestFit="1" customWidth="1"/>
    <col min="12306" max="12306" width="20.7109375" style="798" customWidth="1"/>
    <col min="12307" max="12307" width="22" style="798" customWidth="1"/>
    <col min="12308" max="12311" width="21.28515625" style="798" customWidth="1"/>
    <col min="12312" max="12312" width="22.28515625" style="798" customWidth="1"/>
    <col min="12313" max="12314" width="11.42578125" style="798"/>
    <col min="12315" max="12315" width="14.85546875" style="798" bestFit="1" customWidth="1"/>
    <col min="12316" max="12540" width="11.42578125" style="798"/>
    <col min="12541" max="12541" width="34.42578125" style="798" customWidth="1"/>
    <col min="12542" max="12543" width="19.42578125" style="798" bestFit="1" customWidth="1"/>
    <col min="12544" max="12544" width="19.7109375" style="798" customWidth="1"/>
    <col min="12545" max="12546" width="20.42578125" style="798" customWidth="1"/>
    <col min="12547" max="12548" width="19.7109375" style="798" customWidth="1"/>
    <col min="12549" max="12549" width="25.28515625" style="798" customWidth="1"/>
    <col min="12550" max="12550" width="26" style="798" customWidth="1"/>
    <col min="12551" max="12551" width="22.28515625" style="798" customWidth="1"/>
    <col min="12552" max="12552" width="24.85546875" style="798" customWidth="1"/>
    <col min="12553" max="12553" width="21.140625" style="798" customWidth="1"/>
    <col min="12554" max="12554" width="21.42578125" style="798" customWidth="1"/>
    <col min="12555" max="12555" width="27.85546875" style="798" customWidth="1"/>
    <col min="12556" max="12556" width="23.42578125" style="798" customWidth="1"/>
    <col min="12557" max="12557" width="21.42578125" style="798" customWidth="1"/>
    <col min="12558" max="12560" width="20.7109375" style="798" customWidth="1"/>
    <col min="12561" max="12561" width="32.28515625" style="798" bestFit="1" customWidth="1"/>
    <col min="12562" max="12562" width="20.7109375" style="798" customWidth="1"/>
    <col min="12563" max="12563" width="22" style="798" customWidth="1"/>
    <col min="12564" max="12567" width="21.28515625" style="798" customWidth="1"/>
    <col min="12568" max="12568" width="22.28515625" style="798" customWidth="1"/>
    <col min="12569" max="12570" width="11.42578125" style="798"/>
    <col min="12571" max="12571" width="14.85546875" style="798" bestFit="1" customWidth="1"/>
    <col min="12572" max="12796" width="11.42578125" style="798"/>
    <col min="12797" max="12797" width="34.42578125" style="798" customWidth="1"/>
    <col min="12798" max="12799" width="19.42578125" style="798" bestFit="1" customWidth="1"/>
    <col min="12800" max="12800" width="19.7109375" style="798" customWidth="1"/>
    <col min="12801" max="12802" width="20.42578125" style="798" customWidth="1"/>
    <col min="12803" max="12804" width="19.7109375" style="798" customWidth="1"/>
    <col min="12805" max="12805" width="25.28515625" style="798" customWidth="1"/>
    <col min="12806" max="12806" width="26" style="798" customWidth="1"/>
    <col min="12807" max="12807" width="22.28515625" style="798" customWidth="1"/>
    <col min="12808" max="12808" width="24.85546875" style="798" customWidth="1"/>
    <col min="12809" max="12809" width="21.140625" style="798" customWidth="1"/>
    <col min="12810" max="12810" width="21.42578125" style="798" customWidth="1"/>
    <col min="12811" max="12811" width="27.85546875" style="798" customWidth="1"/>
    <col min="12812" max="12812" width="23.42578125" style="798" customWidth="1"/>
    <col min="12813" max="12813" width="21.42578125" style="798" customWidth="1"/>
    <col min="12814" max="12816" width="20.7109375" style="798" customWidth="1"/>
    <col min="12817" max="12817" width="32.28515625" style="798" bestFit="1" customWidth="1"/>
    <col min="12818" max="12818" width="20.7109375" style="798" customWidth="1"/>
    <col min="12819" max="12819" width="22" style="798" customWidth="1"/>
    <col min="12820" max="12823" width="21.28515625" style="798" customWidth="1"/>
    <col min="12824" max="12824" width="22.28515625" style="798" customWidth="1"/>
    <col min="12825" max="12826" width="11.42578125" style="798"/>
    <col min="12827" max="12827" width="14.85546875" style="798" bestFit="1" customWidth="1"/>
    <col min="12828" max="13052" width="11.42578125" style="798"/>
    <col min="13053" max="13053" width="34.42578125" style="798" customWidth="1"/>
    <col min="13054" max="13055" width="19.42578125" style="798" bestFit="1" customWidth="1"/>
    <col min="13056" max="13056" width="19.7109375" style="798" customWidth="1"/>
    <col min="13057" max="13058" width="20.42578125" style="798" customWidth="1"/>
    <col min="13059" max="13060" width="19.7109375" style="798" customWidth="1"/>
    <col min="13061" max="13061" width="25.28515625" style="798" customWidth="1"/>
    <col min="13062" max="13062" width="26" style="798" customWidth="1"/>
    <col min="13063" max="13063" width="22.28515625" style="798" customWidth="1"/>
    <col min="13064" max="13064" width="24.85546875" style="798" customWidth="1"/>
    <col min="13065" max="13065" width="21.140625" style="798" customWidth="1"/>
    <col min="13066" max="13066" width="21.42578125" style="798" customWidth="1"/>
    <col min="13067" max="13067" width="27.85546875" style="798" customWidth="1"/>
    <col min="13068" max="13068" width="23.42578125" style="798" customWidth="1"/>
    <col min="13069" max="13069" width="21.42578125" style="798" customWidth="1"/>
    <col min="13070" max="13072" width="20.7109375" style="798" customWidth="1"/>
    <col min="13073" max="13073" width="32.28515625" style="798" bestFit="1" customWidth="1"/>
    <col min="13074" max="13074" width="20.7109375" style="798" customWidth="1"/>
    <col min="13075" max="13075" width="22" style="798" customWidth="1"/>
    <col min="13076" max="13079" width="21.28515625" style="798" customWidth="1"/>
    <col min="13080" max="13080" width="22.28515625" style="798" customWidth="1"/>
    <col min="13081" max="13082" width="11.42578125" style="798"/>
    <col min="13083" max="13083" width="14.85546875" style="798" bestFit="1" customWidth="1"/>
    <col min="13084" max="13308" width="11.42578125" style="798"/>
    <col min="13309" max="13309" width="34.42578125" style="798" customWidth="1"/>
    <col min="13310" max="13311" width="19.42578125" style="798" bestFit="1" customWidth="1"/>
    <col min="13312" max="13312" width="19.7109375" style="798" customWidth="1"/>
    <col min="13313" max="13314" width="20.42578125" style="798" customWidth="1"/>
    <col min="13315" max="13316" width="19.7109375" style="798" customWidth="1"/>
    <col min="13317" max="13317" width="25.28515625" style="798" customWidth="1"/>
    <col min="13318" max="13318" width="26" style="798" customWidth="1"/>
    <col min="13319" max="13319" width="22.28515625" style="798" customWidth="1"/>
    <col min="13320" max="13320" width="24.85546875" style="798" customWidth="1"/>
    <col min="13321" max="13321" width="21.140625" style="798" customWidth="1"/>
    <col min="13322" max="13322" width="21.42578125" style="798" customWidth="1"/>
    <col min="13323" max="13323" width="27.85546875" style="798" customWidth="1"/>
    <col min="13324" max="13324" width="23.42578125" style="798" customWidth="1"/>
    <col min="13325" max="13325" width="21.42578125" style="798" customWidth="1"/>
    <col min="13326" max="13328" width="20.7109375" style="798" customWidth="1"/>
    <col min="13329" max="13329" width="32.28515625" style="798" bestFit="1" customWidth="1"/>
    <col min="13330" max="13330" width="20.7109375" style="798" customWidth="1"/>
    <col min="13331" max="13331" width="22" style="798" customWidth="1"/>
    <col min="13332" max="13335" width="21.28515625" style="798" customWidth="1"/>
    <col min="13336" max="13336" width="22.28515625" style="798" customWidth="1"/>
    <col min="13337" max="13338" width="11.42578125" style="798"/>
    <col min="13339" max="13339" width="14.85546875" style="798" bestFit="1" customWidth="1"/>
    <col min="13340" max="13564" width="11.42578125" style="798"/>
    <col min="13565" max="13565" width="34.42578125" style="798" customWidth="1"/>
    <col min="13566" max="13567" width="19.42578125" style="798" bestFit="1" customWidth="1"/>
    <col min="13568" max="13568" width="19.7109375" style="798" customWidth="1"/>
    <col min="13569" max="13570" width="20.42578125" style="798" customWidth="1"/>
    <col min="13571" max="13572" width="19.7109375" style="798" customWidth="1"/>
    <col min="13573" max="13573" width="25.28515625" style="798" customWidth="1"/>
    <col min="13574" max="13574" width="26" style="798" customWidth="1"/>
    <col min="13575" max="13575" width="22.28515625" style="798" customWidth="1"/>
    <col min="13576" max="13576" width="24.85546875" style="798" customWidth="1"/>
    <col min="13577" max="13577" width="21.140625" style="798" customWidth="1"/>
    <col min="13578" max="13578" width="21.42578125" style="798" customWidth="1"/>
    <col min="13579" max="13579" width="27.85546875" style="798" customWidth="1"/>
    <col min="13580" max="13580" width="23.42578125" style="798" customWidth="1"/>
    <col min="13581" max="13581" width="21.42578125" style="798" customWidth="1"/>
    <col min="13582" max="13584" width="20.7109375" style="798" customWidth="1"/>
    <col min="13585" max="13585" width="32.28515625" style="798" bestFit="1" customWidth="1"/>
    <col min="13586" max="13586" width="20.7109375" style="798" customWidth="1"/>
    <col min="13587" max="13587" width="22" style="798" customWidth="1"/>
    <col min="13588" max="13591" width="21.28515625" style="798" customWidth="1"/>
    <col min="13592" max="13592" width="22.28515625" style="798" customWidth="1"/>
    <col min="13593" max="13594" width="11.42578125" style="798"/>
    <col min="13595" max="13595" width="14.85546875" style="798" bestFit="1" customWidth="1"/>
    <col min="13596" max="13820" width="11.42578125" style="798"/>
    <col min="13821" max="13821" width="34.42578125" style="798" customWidth="1"/>
    <col min="13822" max="13823" width="19.42578125" style="798" bestFit="1" customWidth="1"/>
    <col min="13824" max="13824" width="19.7109375" style="798" customWidth="1"/>
    <col min="13825" max="13826" width="20.42578125" style="798" customWidth="1"/>
    <col min="13827" max="13828" width="19.7109375" style="798" customWidth="1"/>
    <col min="13829" max="13829" width="25.28515625" style="798" customWidth="1"/>
    <col min="13830" max="13830" width="26" style="798" customWidth="1"/>
    <col min="13831" max="13831" width="22.28515625" style="798" customWidth="1"/>
    <col min="13832" max="13832" width="24.85546875" style="798" customWidth="1"/>
    <col min="13833" max="13833" width="21.140625" style="798" customWidth="1"/>
    <col min="13834" max="13834" width="21.42578125" style="798" customWidth="1"/>
    <col min="13835" max="13835" width="27.85546875" style="798" customWidth="1"/>
    <col min="13836" max="13836" width="23.42578125" style="798" customWidth="1"/>
    <col min="13837" max="13837" width="21.42578125" style="798" customWidth="1"/>
    <col min="13838" max="13840" width="20.7109375" style="798" customWidth="1"/>
    <col min="13841" max="13841" width="32.28515625" style="798" bestFit="1" customWidth="1"/>
    <col min="13842" max="13842" width="20.7109375" style="798" customWidth="1"/>
    <col min="13843" max="13843" width="22" style="798" customWidth="1"/>
    <col min="13844" max="13847" width="21.28515625" style="798" customWidth="1"/>
    <col min="13848" max="13848" width="22.28515625" style="798" customWidth="1"/>
    <col min="13849" max="13850" width="11.42578125" style="798"/>
    <col min="13851" max="13851" width="14.85546875" style="798" bestFit="1" customWidth="1"/>
    <col min="13852" max="14076" width="11.42578125" style="798"/>
    <col min="14077" max="14077" width="34.42578125" style="798" customWidth="1"/>
    <col min="14078" max="14079" width="19.42578125" style="798" bestFit="1" customWidth="1"/>
    <col min="14080" max="14080" width="19.7109375" style="798" customWidth="1"/>
    <col min="14081" max="14082" width="20.42578125" style="798" customWidth="1"/>
    <col min="14083" max="14084" width="19.7109375" style="798" customWidth="1"/>
    <col min="14085" max="14085" width="25.28515625" style="798" customWidth="1"/>
    <col min="14086" max="14086" width="26" style="798" customWidth="1"/>
    <col min="14087" max="14087" width="22.28515625" style="798" customWidth="1"/>
    <col min="14088" max="14088" width="24.85546875" style="798" customWidth="1"/>
    <col min="14089" max="14089" width="21.140625" style="798" customWidth="1"/>
    <col min="14090" max="14090" width="21.42578125" style="798" customWidth="1"/>
    <col min="14091" max="14091" width="27.85546875" style="798" customWidth="1"/>
    <col min="14092" max="14092" width="23.42578125" style="798" customWidth="1"/>
    <col min="14093" max="14093" width="21.42578125" style="798" customWidth="1"/>
    <col min="14094" max="14096" width="20.7109375" style="798" customWidth="1"/>
    <col min="14097" max="14097" width="32.28515625" style="798" bestFit="1" customWidth="1"/>
    <col min="14098" max="14098" width="20.7109375" style="798" customWidth="1"/>
    <col min="14099" max="14099" width="22" style="798" customWidth="1"/>
    <col min="14100" max="14103" width="21.28515625" style="798" customWidth="1"/>
    <col min="14104" max="14104" width="22.28515625" style="798" customWidth="1"/>
    <col min="14105" max="14106" width="11.42578125" style="798"/>
    <col min="14107" max="14107" width="14.85546875" style="798" bestFit="1" customWidth="1"/>
    <col min="14108" max="14332" width="11.42578125" style="798"/>
    <col min="14333" max="14333" width="34.42578125" style="798" customWidth="1"/>
    <col min="14334" max="14335" width="19.42578125" style="798" bestFit="1" customWidth="1"/>
    <col min="14336" max="14336" width="19.7109375" style="798" customWidth="1"/>
    <col min="14337" max="14338" width="20.42578125" style="798" customWidth="1"/>
    <col min="14339" max="14340" width="19.7109375" style="798" customWidth="1"/>
    <col min="14341" max="14341" width="25.28515625" style="798" customWidth="1"/>
    <col min="14342" max="14342" width="26" style="798" customWidth="1"/>
    <col min="14343" max="14343" width="22.28515625" style="798" customWidth="1"/>
    <col min="14344" max="14344" width="24.85546875" style="798" customWidth="1"/>
    <col min="14345" max="14345" width="21.140625" style="798" customWidth="1"/>
    <col min="14346" max="14346" width="21.42578125" style="798" customWidth="1"/>
    <col min="14347" max="14347" width="27.85546875" style="798" customWidth="1"/>
    <col min="14348" max="14348" width="23.42578125" style="798" customWidth="1"/>
    <col min="14349" max="14349" width="21.42578125" style="798" customWidth="1"/>
    <col min="14350" max="14352" width="20.7109375" style="798" customWidth="1"/>
    <col min="14353" max="14353" width="32.28515625" style="798" bestFit="1" customWidth="1"/>
    <col min="14354" max="14354" width="20.7109375" style="798" customWidth="1"/>
    <col min="14355" max="14355" width="22" style="798" customWidth="1"/>
    <col min="14356" max="14359" width="21.28515625" style="798" customWidth="1"/>
    <col min="14360" max="14360" width="22.28515625" style="798" customWidth="1"/>
    <col min="14361" max="14362" width="11.42578125" style="798"/>
    <col min="14363" max="14363" width="14.85546875" style="798" bestFit="1" customWidth="1"/>
    <col min="14364" max="14588" width="11.42578125" style="798"/>
    <col min="14589" max="14589" width="34.42578125" style="798" customWidth="1"/>
    <col min="14590" max="14591" width="19.42578125" style="798" bestFit="1" customWidth="1"/>
    <col min="14592" max="14592" width="19.7109375" style="798" customWidth="1"/>
    <col min="14593" max="14594" width="20.42578125" style="798" customWidth="1"/>
    <col min="14595" max="14596" width="19.7109375" style="798" customWidth="1"/>
    <col min="14597" max="14597" width="25.28515625" style="798" customWidth="1"/>
    <col min="14598" max="14598" width="26" style="798" customWidth="1"/>
    <col min="14599" max="14599" width="22.28515625" style="798" customWidth="1"/>
    <col min="14600" max="14600" width="24.85546875" style="798" customWidth="1"/>
    <col min="14601" max="14601" width="21.140625" style="798" customWidth="1"/>
    <col min="14602" max="14602" width="21.42578125" style="798" customWidth="1"/>
    <col min="14603" max="14603" width="27.85546875" style="798" customWidth="1"/>
    <col min="14604" max="14604" width="23.42578125" style="798" customWidth="1"/>
    <col min="14605" max="14605" width="21.42578125" style="798" customWidth="1"/>
    <col min="14606" max="14608" width="20.7109375" style="798" customWidth="1"/>
    <col min="14609" max="14609" width="32.28515625" style="798" bestFit="1" customWidth="1"/>
    <col min="14610" max="14610" width="20.7109375" style="798" customWidth="1"/>
    <col min="14611" max="14611" width="22" style="798" customWidth="1"/>
    <col min="14612" max="14615" width="21.28515625" style="798" customWidth="1"/>
    <col min="14616" max="14616" width="22.28515625" style="798" customWidth="1"/>
    <col min="14617" max="14618" width="11.42578125" style="798"/>
    <col min="14619" max="14619" width="14.85546875" style="798" bestFit="1" customWidth="1"/>
    <col min="14620" max="14844" width="11.42578125" style="798"/>
    <col min="14845" max="14845" width="34.42578125" style="798" customWidth="1"/>
    <col min="14846" max="14847" width="19.42578125" style="798" bestFit="1" customWidth="1"/>
    <col min="14848" max="14848" width="19.7109375" style="798" customWidth="1"/>
    <col min="14849" max="14850" width="20.42578125" style="798" customWidth="1"/>
    <col min="14851" max="14852" width="19.7109375" style="798" customWidth="1"/>
    <col min="14853" max="14853" width="25.28515625" style="798" customWidth="1"/>
    <col min="14854" max="14854" width="26" style="798" customWidth="1"/>
    <col min="14855" max="14855" width="22.28515625" style="798" customWidth="1"/>
    <col min="14856" max="14856" width="24.85546875" style="798" customWidth="1"/>
    <col min="14857" max="14857" width="21.140625" style="798" customWidth="1"/>
    <col min="14858" max="14858" width="21.42578125" style="798" customWidth="1"/>
    <col min="14859" max="14859" width="27.85546875" style="798" customWidth="1"/>
    <col min="14860" max="14860" width="23.42578125" style="798" customWidth="1"/>
    <col min="14861" max="14861" width="21.42578125" style="798" customWidth="1"/>
    <col min="14862" max="14864" width="20.7109375" style="798" customWidth="1"/>
    <col min="14865" max="14865" width="32.28515625" style="798" bestFit="1" customWidth="1"/>
    <col min="14866" max="14866" width="20.7109375" style="798" customWidth="1"/>
    <col min="14867" max="14867" width="22" style="798" customWidth="1"/>
    <col min="14868" max="14871" width="21.28515625" style="798" customWidth="1"/>
    <col min="14872" max="14872" width="22.28515625" style="798" customWidth="1"/>
    <col min="14873" max="14874" width="11.42578125" style="798"/>
    <col min="14875" max="14875" width="14.85546875" style="798" bestFit="1" customWidth="1"/>
    <col min="14876" max="15100" width="11.42578125" style="798"/>
    <col min="15101" max="15101" width="34.42578125" style="798" customWidth="1"/>
    <col min="15102" max="15103" width="19.42578125" style="798" bestFit="1" customWidth="1"/>
    <col min="15104" max="15104" width="19.7109375" style="798" customWidth="1"/>
    <col min="15105" max="15106" width="20.42578125" style="798" customWidth="1"/>
    <col min="15107" max="15108" width="19.7109375" style="798" customWidth="1"/>
    <col min="15109" max="15109" width="25.28515625" style="798" customWidth="1"/>
    <col min="15110" max="15110" width="26" style="798" customWidth="1"/>
    <col min="15111" max="15111" width="22.28515625" style="798" customWidth="1"/>
    <col min="15112" max="15112" width="24.85546875" style="798" customWidth="1"/>
    <col min="15113" max="15113" width="21.140625" style="798" customWidth="1"/>
    <col min="15114" max="15114" width="21.42578125" style="798" customWidth="1"/>
    <col min="15115" max="15115" width="27.85546875" style="798" customWidth="1"/>
    <col min="15116" max="15116" width="23.42578125" style="798" customWidth="1"/>
    <col min="15117" max="15117" width="21.42578125" style="798" customWidth="1"/>
    <col min="15118" max="15120" width="20.7109375" style="798" customWidth="1"/>
    <col min="15121" max="15121" width="32.28515625" style="798" bestFit="1" customWidth="1"/>
    <col min="15122" max="15122" width="20.7109375" style="798" customWidth="1"/>
    <col min="15123" max="15123" width="22" style="798" customWidth="1"/>
    <col min="15124" max="15127" width="21.28515625" style="798" customWidth="1"/>
    <col min="15128" max="15128" width="22.28515625" style="798" customWidth="1"/>
    <col min="15129" max="15130" width="11.42578125" style="798"/>
    <col min="15131" max="15131" width="14.85546875" style="798" bestFit="1" customWidth="1"/>
    <col min="15132" max="15356" width="11.42578125" style="798"/>
    <col min="15357" max="15357" width="34.42578125" style="798" customWidth="1"/>
    <col min="15358" max="15359" width="19.42578125" style="798" bestFit="1" customWidth="1"/>
    <col min="15360" max="15360" width="19.7109375" style="798" customWidth="1"/>
    <col min="15361" max="15362" width="20.42578125" style="798" customWidth="1"/>
    <col min="15363" max="15364" width="19.7109375" style="798" customWidth="1"/>
    <col min="15365" max="15365" width="25.28515625" style="798" customWidth="1"/>
    <col min="15366" max="15366" width="26" style="798" customWidth="1"/>
    <col min="15367" max="15367" width="22.28515625" style="798" customWidth="1"/>
    <col min="15368" max="15368" width="24.85546875" style="798" customWidth="1"/>
    <col min="15369" max="15369" width="21.140625" style="798" customWidth="1"/>
    <col min="15370" max="15370" width="21.42578125" style="798" customWidth="1"/>
    <col min="15371" max="15371" width="27.85546875" style="798" customWidth="1"/>
    <col min="15372" max="15372" width="23.42578125" style="798" customWidth="1"/>
    <col min="15373" max="15373" width="21.42578125" style="798" customWidth="1"/>
    <col min="15374" max="15376" width="20.7109375" style="798" customWidth="1"/>
    <col min="15377" max="15377" width="32.28515625" style="798" bestFit="1" customWidth="1"/>
    <col min="15378" max="15378" width="20.7109375" style="798" customWidth="1"/>
    <col min="15379" max="15379" width="22" style="798" customWidth="1"/>
    <col min="15380" max="15383" width="21.28515625" style="798" customWidth="1"/>
    <col min="15384" max="15384" width="22.28515625" style="798" customWidth="1"/>
    <col min="15385" max="15386" width="11.42578125" style="798"/>
    <col min="15387" max="15387" width="14.85546875" style="798" bestFit="1" customWidth="1"/>
    <col min="15388" max="15612" width="11.42578125" style="798"/>
    <col min="15613" max="15613" width="34.42578125" style="798" customWidth="1"/>
    <col min="15614" max="15615" width="19.42578125" style="798" bestFit="1" customWidth="1"/>
    <col min="15616" max="15616" width="19.7109375" style="798" customWidth="1"/>
    <col min="15617" max="15618" width="20.42578125" style="798" customWidth="1"/>
    <col min="15619" max="15620" width="19.7109375" style="798" customWidth="1"/>
    <col min="15621" max="15621" width="25.28515625" style="798" customWidth="1"/>
    <col min="15622" max="15622" width="26" style="798" customWidth="1"/>
    <col min="15623" max="15623" width="22.28515625" style="798" customWidth="1"/>
    <col min="15624" max="15624" width="24.85546875" style="798" customWidth="1"/>
    <col min="15625" max="15625" width="21.140625" style="798" customWidth="1"/>
    <col min="15626" max="15626" width="21.42578125" style="798" customWidth="1"/>
    <col min="15627" max="15627" width="27.85546875" style="798" customWidth="1"/>
    <col min="15628" max="15628" width="23.42578125" style="798" customWidth="1"/>
    <col min="15629" max="15629" width="21.42578125" style="798" customWidth="1"/>
    <col min="15630" max="15632" width="20.7109375" style="798" customWidth="1"/>
    <col min="15633" max="15633" width="32.28515625" style="798" bestFit="1" customWidth="1"/>
    <col min="15634" max="15634" width="20.7109375" style="798" customWidth="1"/>
    <col min="15635" max="15635" width="22" style="798" customWidth="1"/>
    <col min="15636" max="15639" width="21.28515625" style="798" customWidth="1"/>
    <col min="15640" max="15640" width="22.28515625" style="798" customWidth="1"/>
    <col min="15641" max="15642" width="11.42578125" style="798"/>
    <col min="15643" max="15643" width="14.85546875" style="798" bestFit="1" customWidth="1"/>
    <col min="15644" max="15868" width="11.42578125" style="798"/>
    <col min="15869" max="15869" width="34.42578125" style="798" customWidth="1"/>
    <col min="15870" max="15871" width="19.42578125" style="798" bestFit="1" customWidth="1"/>
    <col min="15872" max="15872" width="19.7109375" style="798" customWidth="1"/>
    <col min="15873" max="15874" width="20.42578125" style="798" customWidth="1"/>
    <col min="15875" max="15876" width="19.7109375" style="798" customWidth="1"/>
    <col min="15877" max="15877" width="25.28515625" style="798" customWidth="1"/>
    <col min="15878" max="15878" width="26" style="798" customWidth="1"/>
    <col min="15879" max="15879" width="22.28515625" style="798" customWidth="1"/>
    <col min="15880" max="15880" width="24.85546875" style="798" customWidth="1"/>
    <col min="15881" max="15881" width="21.140625" style="798" customWidth="1"/>
    <col min="15882" max="15882" width="21.42578125" style="798" customWidth="1"/>
    <col min="15883" max="15883" width="27.85546875" style="798" customWidth="1"/>
    <col min="15884" max="15884" width="23.42578125" style="798" customWidth="1"/>
    <col min="15885" max="15885" width="21.42578125" style="798" customWidth="1"/>
    <col min="15886" max="15888" width="20.7109375" style="798" customWidth="1"/>
    <col min="15889" max="15889" width="32.28515625" style="798" bestFit="1" customWidth="1"/>
    <col min="15890" max="15890" width="20.7109375" style="798" customWidth="1"/>
    <col min="15891" max="15891" width="22" style="798" customWidth="1"/>
    <col min="15892" max="15895" width="21.28515625" style="798" customWidth="1"/>
    <col min="15896" max="15896" width="22.28515625" style="798" customWidth="1"/>
    <col min="15897" max="15898" width="11.42578125" style="798"/>
    <col min="15899" max="15899" width="14.85546875" style="798" bestFit="1" customWidth="1"/>
    <col min="15900" max="16124" width="11.42578125" style="798"/>
    <col min="16125" max="16125" width="34.42578125" style="798" customWidth="1"/>
    <col min="16126" max="16127" width="19.42578125" style="798" bestFit="1" customWidth="1"/>
    <col min="16128" max="16128" width="19.7109375" style="798" customWidth="1"/>
    <col min="16129" max="16130" width="20.42578125" style="798" customWidth="1"/>
    <col min="16131" max="16132" width="19.7109375" style="798" customWidth="1"/>
    <col min="16133" max="16133" width="25.28515625" style="798" customWidth="1"/>
    <col min="16134" max="16134" width="26" style="798" customWidth="1"/>
    <col min="16135" max="16135" width="22.28515625" style="798" customWidth="1"/>
    <col min="16136" max="16136" width="24.85546875" style="798" customWidth="1"/>
    <col min="16137" max="16137" width="21.140625" style="798" customWidth="1"/>
    <col min="16138" max="16138" width="21.42578125" style="798" customWidth="1"/>
    <col min="16139" max="16139" width="27.85546875" style="798" customWidth="1"/>
    <col min="16140" max="16140" width="23.42578125" style="798" customWidth="1"/>
    <col min="16141" max="16141" width="21.42578125" style="798" customWidth="1"/>
    <col min="16142" max="16144" width="20.7109375" style="798" customWidth="1"/>
    <col min="16145" max="16145" width="32.28515625" style="798" bestFit="1" customWidth="1"/>
    <col min="16146" max="16146" width="20.7109375" style="798" customWidth="1"/>
    <col min="16147" max="16147" width="22" style="798" customWidth="1"/>
    <col min="16148" max="16151" width="21.28515625" style="798" customWidth="1"/>
    <col min="16152" max="16152" width="22.28515625" style="798" customWidth="1"/>
    <col min="16153" max="16154" width="11.42578125" style="798"/>
    <col min="16155" max="16155" width="14.85546875" style="798" bestFit="1" customWidth="1"/>
    <col min="16156" max="16384" width="11.42578125" style="798"/>
  </cols>
  <sheetData>
    <row r="1" spans="1:25" s="779" customFormat="1" x14ac:dyDescent="0.25">
      <c r="A1" s="776" t="s">
        <v>134</v>
      </c>
      <c r="L1" s="919" t="s">
        <v>0</v>
      </c>
      <c r="M1" s="919"/>
      <c r="N1" s="919"/>
      <c r="O1" s="780"/>
      <c r="P1" s="780"/>
      <c r="Q1" s="780"/>
      <c r="R1" s="780"/>
      <c r="S1" s="780"/>
      <c r="T1" s="780"/>
      <c r="U1" s="780"/>
      <c r="V1" s="780"/>
      <c r="W1" s="780"/>
      <c r="X1" s="780"/>
      <c r="Y1" s="780"/>
    </row>
    <row r="2" spans="1:25" s="779" customFormat="1" x14ac:dyDescent="0.25">
      <c r="A2" s="777">
        <f>COUNTA(A8:A14) - MATCH(A3,A8:A14,0)+1</f>
        <v>1</v>
      </c>
      <c r="L2" s="780" t="s">
        <v>1</v>
      </c>
      <c r="M2" s="780"/>
      <c r="N2" s="780"/>
      <c r="O2" s="781"/>
      <c r="P2" s="1072" t="s">
        <v>2</v>
      </c>
      <c r="Q2" s="1072"/>
      <c r="R2" s="1072"/>
      <c r="S2" s="781"/>
      <c r="T2" s="781" t="s">
        <v>3</v>
      </c>
      <c r="U2" s="1072" t="s">
        <v>55</v>
      </c>
      <c r="V2" s="1072"/>
      <c r="X2" s="781"/>
      <c r="Y2" s="781"/>
    </row>
    <row r="3" spans="1:25" s="779" customFormat="1" ht="15.75" thickBot="1" x14ac:dyDescent="0.3">
      <c r="A3" s="778" t="s">
        <v>23</v>
      </c>
      <c r="L3" s="780" t="s">
        <v>4</v>
      </c>
      <c r="M3" s="780"/>
      <c r="N3" s="780"/>
      <c r="O3" s="781"/>
      <c r="P3" s="782">
        <v>2</v>
      </c>
      <c r="Q3" s="781"/>
      <c r="R3" s="781"/>
      <c r="S3" s="781" t="s">
        <v>6</v>
      </c>
      <c r="T3" s="1081">
        <v>45777</v>
      </c>
      <c r="U3" s="1081"/>
      <c r="V3" s="1081">
        <f>T3+6</f>
        <v>45783</v>
      </c>
      <c r="W3" s="1081"/>
      <c r="X3" s="783"/>
      <c r="Y3" s="781"/>
    </row>
    <row r="4" spans="1:25" s="779" customFormat="1" ht="6.75" customHeight="1" thickBot="1" x14ac:dyDescent="0.3">
      <c r="L4" s="780"/>
      <c r="M4" s="780"/>
      <c r="N4" s="780"/>
      <c r="O4" s="781"/>
      <c r="P4" s="920"/>
      <c r="Q4" s="781"/>
      <c r="R4" s="781"/>
      <c r="S4" s="781"/>
      <c r="T4" s="921"/>
      <c r="U4" s="921"/>
      <c r="V4" s="921"/>
      <c r="W4" s="921"/>
      <c r="X4" s="783"/>
      <c r="Y4" s="781"/>
    </row>
    <row r="5" spans="1:25" s="779" customFormat="1" ht="15.75" thickBot="1" x14ac:dyDescent="0.3">
      <c r="A5" s="784" t="s">
        <v>7</v>
      </c>
      <c r="B5" s="1073" t="s">
        <v>113</v>
      </c>
      <c r="C5" s="1074"/>
      <c r="D5" s="1074"/>
      <c r="E5" s="1074"/>
      <c r="F5" s="1074"/>
      <c r="G5" s="1074"/>
      <c r="H5" s="1074"/>
      <c r="I5" s="1075" t="s">
        <v>63</v>
      </c>
      <c r="J5" s="1076"/>
      <c r="K5" s="1076"/>
      <c r="L5" s="1076"/>
      <c r="M5" s="1076"/>
      <c r="N5" s="1076"/>
      <c r="O5" s="1077"/>
      <c r="P5" s="1078" t="s">
        <v>8</v>
      </c>
      <c r="Q5" s="1079"/>
      <c r="R5" s="1079"/>
      <c r="S5" s="1079"/>
      <c r="T5" s="1079"/>
      <c r="U5" s="1079"/>
      <c r="V5" s="1080"/>
      <c r="W5" s="785"/>
      <c r="Y5" s="786" t="s">
        <v>130</v>
      </c>
    </row>
    <row r="6" spans="1:25" ht="15.75" thickBot="1" x14ac:dyDescent="0.3">
      <c r="A6" s="787" t="s">
        <v>34</v>
      </c>
      <c r="B6" s="788">
        <v>1</v>
      </c>
      <c r="C6" s="789">
        <v>2</v>
      </c>
      <c r="D6" s="789">
        <v>3</v>
      </c>
      <c r="E6" s="789">
        <v>4</v>
      </c>
      <c r="F6" s="789">
        <v>5</v>
      </c>
      <c r="G6" s="789">
        <v>6</v>
      </c>
      <c r="H6" s="790">
        <v>7</v>
      </c>
      <c r="I6" s="791">
        <v>8</v>
      </c>
      <c r="J6" s="792">
        <v>9</v>
      </c>
      <c r="K6" s="792">
        <v>10</v>
      </c>
      <c r="L6" s="792">
        <v>11</v>
      </c>
      <c r="M6" s="792">
        <v>12</v>
      </c>
      <c r="N6" s="792">
        <v>13</v>
      </c>
      <c r="O6" s="793">
        <v>14</v>
      </c>
      <c r="P6" s="794">
        <v>15</v>
      </c>
      <c r="Q6" s="795">
        <v>16</v>
      </c>
      <c r="R6" s="795">
        <v>17</v>
      </c>
      <c r="S6" s="795">
        <v>18</v>
      </c>
      <c r="T6" s="795">
        <v>19</v>
      </c>
      <c r="U6" s="795">
        <v>20</v>
      </c>
      <c r="V6" s="796">
        <v>21</v>
      </c>
      <c r="W6" s="797" t="s">
        <v>9</v>
      </c>
      <c r="Y6" s="799" t="s">
        <v>131</v>
      </c>
    </row>
    <row r="7" spans="1:25" ht="13.5" customHeight="1" thickBot="1" x14ac:dyDescent="0.3">
      <c r="A7" s="800" t="s">
        <v>10</v>
      </c>
      <c r="B7" s="801">
        <v>1</v>
      </c>
      <c r="C7" s="802">
        <v>2</v>
      </c>
      <c r="D7" s="802">
        <v>3</v>
      </c>
      <c r="E7" s="802">
        <v>4</v>
      </c>
      <c r="F7" s="802">
        <v>5</v>
      </c>
      <c r="G7" s="802">
        <v>6</v>
      </c>
      <c r="H7" s="803">
        <v>7</v>
      </c>
      <c r="I7" s="804">
        <v>1</v>
      </c>
      <c r="J7" s="802">
        <v>2</v>
      </c>
      <c r="K7" s="802">
        <v>3</v>
      </c>
      <c r="L7" s="802">
        <v>4</v>
      </c>
      <c r="M7" s="802">
        <v>5</v>
      </c>
      <c r="N7" s="802">
        <v>6</v>
      </c>
      <c r="O7" s="805">
        <v>7</v>
      </c>
      <c r="P7" s="801">
        <v>1</v>
      </c>
      <c r="Q7" s="802">
        <v>2</v>
      </c>
      <c r="R7" s="802">
        <v>3</v>
      </c>
      <c r="S7" s="802">
        <v>4</v>
      </c>
      <c r="T7" s="802">
        <v>5</v>
      </c>
      <c r="U7" s="802">
        <v>6</v>
      </c>
      <c r="V7" s="803">
        <v>7</v>
      </c>
      <c r="W7" s="806">
        <v>1631.2000000000003</v>
      </c>
      <c r="Y7" s="807">
        <v>1</v>
      </c>
    </row>
    <row r="8" spans="1:25" ht="13.5" customHeight="1" x14ac:dyDescent="0.25">
      <c r="A8" s="808" t="s">
        <v>51</v>
      </c>
      <c r="B8" s="809">
        <v>83.9</v>
      </c>
      <c r="C8" s="810">
        <v>83</v>
      </c>
      <c r="D8" s="810">
        <v>83.2</v>
      </c>
      <c r="E8" s="810">
        <v>14.1</v>
      </c>
      <c r="F8" s="810">
        <v>84.9</v>
      </c>
      <c r="G8" s="811">
        <v>83.4</v>
      </c>
      <c r="H8" s="812">
        <v>84.3</v>
      </c>
      <c r="I8" s="813">
        <v>87.4</v>
      </c>
      <c r="J8" s="810">
        <v>88.9</v>
      </c>
      <c r="K8" s="810">
        <v>91</v>
      </c>
      <c r="L8" s="814">
        <v>16.899999999999999</v>
      </c>
      <c r="M8" s="810">
        <v>89.4</v>
      </c>
      <c r="N8" s="814">
        <v>90</v>
      </c>
      <c r="O8" s="810">
        <v>90.1</v>
      </c>
      <c r="P8" s="809">
        <v>90.3</v>
      </c>
      <c r="Q8" s="814">
        <v>89.8</v>
      </c>
      <c r="R8" s="810">
        <v>88.9</v>
      </c>
      <c r="S8" s="814">
        <v>19.8</v>
      </c>
      <c r="T8" s="810">
        <v>89.6</v>
      </c>
      <c r="U8" s="814">
        <v>89.2</v>
      </c>
      <c r="V8" s="812">
        <v>90</v>
      </c>
      <c r="W8" s="950">
        <f t="shared" ref="W8:W14" si="0">SUM(B8:V8)</f>
        <v>1628.0999999999997</v>
      </c>
      <c r="X8" s="815">
        <f>W8-W7</f>
        <v>-3.1000000000005912</v>
      </c>
      <c r="Y8" s="816">
        <v>2</v>
      </c>
    </row>
    <row r="9" spans="1:25" ht="13.5" customHeight="1" x14ac:dyDescent="0.25">
      <c r="A9" s="808" t="s">
        <v>24</v>
      </c>
      <c r="B9" s="867">
        <v>83.9</v>
      </c>
      <c r="C9" s="814">
        <v>83</v>
      </c>
      <c r="D9" s="814">
        <v>83.2</v>
      </c>
      <c r="E9" s="811">
        <v>14.1</v>
      </c>
      <c r="F9" s="810">
        <v>84.9</v>
      </c>
      <c r="G9" s="810">
        <v>83.1</v>
      </c>
      <c r="H9" s="812">
        <v>84.3</v>
      </c>
      <c r="I9" s="947">
        <v>87.4</v>
      </c>
      <c r="J9" s="810">
        <v>88.9</v>
      </c>
      <c r="K9" s="810">
        <v>91</v>
      </c>
      <c r="L9" s="810">
        <v>16.8</v>
      </c>
      <c r="M9" s="810">
        <v>89.4</v>
      </c>
      <c r="N9" s="814">
        <v>89.9</v>
      </c>
      <c r="O9" s="810">
        <v>90.1</v>
      </c>
      <c r="P9" s="948">
        <v>90.3</v>
      </c>
      <c r="Q9" s="814">
        <v>89.7</v>
      </c>
      <c r="R9" s="811">
        <v>88.9</v>
      </c>
      <c r="S9" s="814">
        <v>19.7</v>
      </c>
      <c r="T9" s="814">
        <v>89.6</v>
      </c>
      <c r="U9" s="814">
        <v>89.1</v>
      </c>
      <c r="V9" s="949">
        <v>90</v>
      </c>
      <c r="W9" s="951">
        <f t="shared" si="0"/>
        <v>1627.2999999999997</v>
      </c>
      <c r="X9" s="815">
        <f>W9-W8</f>
        <v>-0.79999999999995453</v>
      </c>
      <c r="Y9" s="818">
        <v>3</v>
      </c>
    </row>
    <row r="10" spans="1:25" ht="13.5" customHeight="1" x14ac:dyDescent="0.25">
      <c r="A10" s="808" t="s">
        <v>20</v>
      </c>
      <c r="B10" s="809">
        <v>83.8</v>
      </c>
      <c r="C10" s="810">
        <v>82.9</v>
      </c>
      <c r="D10" s="810">
        <v>83.1</v>
      </c>
      <c r="E10" s="814">
        <v>13.8</v>
      </c>
      <c r="F10" s="810">
        <v>84.9</v>
      </c>
      <c r="G10" s="810">
        <v>83.1</v>
      </c>
      <c r="H10" s="955">
        <v>84.3</v>
      </c>
      <c r="I10" s="813">
        <v>87.3</v>
      </c>
      <c r="J10" s="814">
        <v>88.9</v>
      </c>
      <c r="K10" s="811">
        <v>91</v>
      </c>
      <c r="L10" s="814">
        <v>16.8</v>
      </c>
      <c r="M10" s="810">
        <v>89.4</v>
      </c>
      <c r="N10" s="811">
        <v>89.8</v>
      </c>
      <c r="O10" s="810">
        <v>90.1</v>
      </c>
      <c r="P10" s="809">
        <v>90</v>
      </c>
      <c r="Q10" s="814">
        <v>89.6</v>
      </c>
      <c r="R10" s="811">
        <v>88.6</v>
      </c>
      <c r="S10" s="810">
        <v>19.600000000000001</v>
      </c>
      <c r="T10" s="810">
        <v>89.5</v>
      </c>
      <c r="U10" s="810">
        <v>89</v>
      </c>
      <c r="V10" s="812">
        <v>89.9</v>
      </c>
      <c r="W10" s="951">
        <f t="shared" si="0"/>
        <v>1625.3999999999996</v>
      </c>
      <c r="X10" s="815">
        <f t="shared" ref="X10:X14" si="1">W10-W9</f>
        <v>-1.9000000000000909</v>
      </c>
      <c r="Y10" s="819">
        <v>4</v>
      </c>
    </row>
    <row r="11" spans="1:25" ht="13.5" customHeight="1" x14ac:dyDescent="0.25">
      <c r="A11" s="820" t="s">
        <v>28</v>
      </c>
      <c r="B11" s="809">
        <v>83.4</v>
      </c>
      <c r="C11" s="810">
        <v>83</v>
      </c>
      <c r="D11" s="810">
        <v>82.8</v>
      </c>
      <c r="E11" s="810">
        <v>13.2</v>
      </c>
      <c r="F11" s="810">
        <v>85</v>
      </c>
      <c r="G11" s="810">
        <v>82.8</v>
      </c>
      <c r="H11" s="812">
        <v>83.9</v>
      </c>
      <c r="I11" s="813">
        <v>87.2</v>
      </c>
      <c r="J11" s="810">
        <v>88.5</v>
      </c>
      <c r="K11" s="810">
        <v>90.7</v>
      </c>
      <c r="L11" s="810">
        <v>16.5</v>
      </c>
      <c r="M11" s="810">
        <v>89.5</v>
      </c>
      <c r="N11" s="810">
        <v>88.3</v>
      </c>
      <c r="O11" s="810">
        <v>90.3</v>
      </c>
      <c r="P11" s="809">
        <v>89.9</v>
      </c>
      <c r="Q11" s="810">
        <v>88.7</v>
      </c>
      <c r="R11" s="810">
        <v>88</v>
      </c>
      <c r="S11" s="810">
        <v>19.2</v>
      </c>
      <c r="T11" s="810">
        <v>89.3</v>
      </c>
      <c r="U11" s="810">
        <v>88.9</v>
      </c>
      <c r="V11" s="812">
        <v>89.6</v>
      </c>
      <c r="W11" s="951">
        <f t="shared" si="0"/>
        <v>1618.7000000000003</v>
      </c>
      <c r="X11" s="815">
        <f t="shared" si="1"/>
        <v>-6.6999999999993634</v>
      </c>
      <c r="Y11" s="821">
        <v>5</v>
      </c>
    </row>
    <row r="12" spans="1:25" ht="13.5" customHeight="1" x14ac:dyDescent="0.25">
      <c r="A12" s="808" t="s">
        <v>21</v>
      </c>
      <c r="B12" s="809">
        <v>83.4</v>
      </c>
      <c r="C12" s="814">
        <v>83</v>
      </c>
      <c r="D12" s="811">
        <v>82.8</v>
      </c>
      <c r="E12" s="810">
        <v>13.2</v>
      </c>
      <c r="F12" s="810">
        <v>85</v>
      </c>
      <c r="G12" s="810">
        <v>82.8</v>
      </c>
      <c r="H12" s="812">
        <v>83.9</v>
      </c>
      <c r="I12" s="813">
        <v>87.2</v>
      </c>
      <c r="J12" s="810">
        <v>88.5</v>
      </c>
      <c r="K12" s="810">
        <v>90.7</v>
      </c>
      <c r="L12" s="811">
        <v>16.5</v>
      </c>
      <c r="M12" s="810">
        <v>89.5</v>
      </c>
      <c r="N12" s="810">
        <v>88.3</v>
      </c>
      <c r="O12" s="810">
        <v>90.3</v>
      </c>
      <c r="P12" s="809">
        <v>89.9</v>
      </c>
      <c r="Q12" s="814">
        <v>88.7</v>
      </c>
      <c r="R12" s="814">
        <v>88</v>
      </c>
      <c r="S12" s="810">
        <v>19.2</v>
      </c>
      <c r="T12" s="810">
        <v>89.3</v>
      </c>
      <c r="U12" s="810">
        <v>88.9</v>
      </c>
      <c r="V12" s="812">
        <v>89.6</v>
      </c>
      <c r="W12" s="951">
        <f t="shared" si="0"/>
        <v>1618.7000000000003</v>
      </c>
      <c r="X12" s="815">
        <f t="shared" si="1"/>
        <v>0</v>
      </c>
      <c r="Y12" s="822">
        <v>6</v>
      </c>
    </row>
    <row r="13" spans="1:25" ht="13.5" customHeight="1" x14ac:dyDescent="0.25">
      <c r="A13" s="808" t="s">
        <v>22</v>
      </c>
      <c r="B13" s="809">
        <v>83.4</v>
      </c>
      <c r="C13" s="810">
        <v>82.9</v>
      </c>
      <c r="D13" s="810">
        <v>82.5</v>
      </c>
      <c r="E13" s="810">
        <v>13.2</v>
      </c>
      <c r="F13" s="810">
        <v>85</v>
      </c>
      <c r="G13" s="810">
        <v>82.8</v>
      </c>
      <c r="H13" s="812">
        <v>83.9</v>
      </c>
      <c r="I13" s="813">
        <v>87.2</v>
      </c>
      <c r="J13" s="810">
        <v>88.5</v>
      </c>
      <c r="K13" s="810">
        <v>90.7</v>
      </c>
      <c r="L13" s="810">
        <v>16.2</v>
      </c>
      <c r="M13" s="810">
        <v>89.5</v>
      </c>
      <c r="N13" s="810">
        <v>88.3</v>
      </c>
      <c r="O13" s="810">
        <v>90.3</v>
      </c>
      <c r="P13" s="809">
        <v>89.9</v>
      </c>
      <c r="Q13" s="811">
        <v>88.6</v>
      </c>
      <c r="R13" s="810">
        <v>87.9</v>
      </c>
      <c r="S13" s="962">
        <v>19.2</v>
      </c>
      <c r="T13" s="810">
        <v>89.3</v>
      </c>
      <c r="U13" s="810">
        <v>88.8</v>
      </c>
      <c r="V13" s="812">
        <v>89.6</v>
      </c>
      <c r="W13" s="951">
        <f t="shared" si="0"/>
        <v>1617.7</v>
      </c>
      <c r="X13" s="815">
        <f t="shared" si="1"/>
        <v>-1.0000000000002274</v>
      </c>
      <c r="Y13" s="823">
        <v>7</v>
      </c>
    </row>
    <row r="14" spans="1:25" ht="13.5" customHeight="1" thickBot="1" x14ac:dyDescent="0.3">
      <c r="A14" s="808" t="s">
        <v>23</v>
      </c>
      <c r="B14" s="924">
        <v>83.4</v>
      </c>
      <c r="C14" s="925">
        <v>82.9</v>
      </c>
      <c r="D14" s="925">
        <v>82.5</v>
      </c>
      <c r="E14" s="963">
        <v>13.2</v>
      </c>
      <c r="F14" s="925">
        <v>85</v>
      </c>
      <c r="G14" s="925">
        <v>82.8</v>
      </c>
      <c r="H14" s="964">
        <v>83.9</v>
      </c>
      <c r="I14" s="927">
        <v>87.2</v>
      </c>
      <c r="J14" s="925">
        <v>88.5</v>
      </c>
      <c r="K14" s="925">
        <v>90.7</v>
      </c>
      <c r="L14" s="925">
        <v>16.2</v>
      </c>
      <c r="M14" s="925">
        <v>89.5</v>
      </c>
      <c r="N14" s="925">
        <v>88.3</v>
      </c>
      <c r="O14" s="925">
        <v>90.3</v>
      </c>
      <c r="P14" s="965">
        <v>89.9</v>
      </c>
      <c r="Q14" s="963">
        <v>88.3</v>
      </c>
      <c r="R14" s="925">
        <v>87.9</v>
      </c>
      <c r="S14" s="925">
        <v>18.600000000000001</v>
      </c>
      <c r="T14" s="925">
        <v>89.3</v>
      </c>
      <c r="U14" s="925">
        <v>88.8</v>
      </c>
      <c r="V14" s="926">
        <v>89.6</v>
      </c>
      <c r="W14" s="951">
        <f t="shared" si="0"/>
        <v>1616.8</v>
      </c>
      <c r="X14" s="815">
        <f t="shared" si="1"/>
        <v>-0.90000000000009095</v>
      </c>
    </row>
    <row r="15" spans="1:25" x14ac:dyDescent="0.25">
      <c r="A15" s="800" t="s">
        <v>9</v>
      </c>
      <c r="B15" s="824">
        <f>SUM(B8:B14)</f>
        <v>585.19999999999993</v>
      </c>
      <c r="C15" s="825">
        <f>SUM(C8:C14)</f>
        <v>580.69999999999993</v>
      </c>
      <c r="D15" s="825">
        <f t="shared" ref="D15:V15" si="2">SUM(D8:D14)</f>
        <v>580.1</v>
      </c>
      <c r="E15" s="825">
        <f>SUM(E8:E14)</f>
        <v>94.800000000000011</v>
      </c>
      <c r="F15" s="825">
        <f t="shared" si="2"/>
        <v>594.70000000000005</v>
      </c>
      <c r="G15" s="825">
        <f t="shared" si="2"/>
        <v>580.79999999999995</v>
      </c>
      <c r="H15" s="826">
        <f t="shared" si="2"/>
        <v>588.49999999999989</v>
      </c>
      <c r="I15" s="824">
        <f t="shared" si="2"/>
        <v>610.90000000000009</v>
      </c>
      <c r="J15" s="825">
        <f t="shared" si="2"/>
        <v>620.70000000000005</v>
      </c>
      <c r="K15" s="825">
        <f t="shared" si="2"/>
        <v>635.80000000000007</v>
      </c>
      <c r="L15" s="825">
        <f t="shared" si="2"/>
        <v>115.9</v>
      </c>
      <c r="M15" s="825">
        <f t="shared" si="2"/>
        <v>626.20000000000005</v>
      </c>
      <c r="N15" s="825">
        <f t="shared" si="2"/>
        <v>622.9</v>
      </c>
      <c r="O15" s="826">
        <f t="shared" si="2"/>
        <v>631.49999999999989</v>
      </c>
      <c r="P15" s="824">
        <f t="shared" si="2"/>
        <v>630.19999999999993</v>
      </c>
      <c r="Q15" s="825">
        <f t="shared" si="2"/>
        <v>623.4</v>
      </c>
      <c r="R15" s="825">
        <f t="shared" si="2"/>
        <v>618.19999999999993</v>
      </c>
      <c r="S15" s="825">
        <f>SUM(S8:S14)</f>
        <v>135.30000000000001</v>
      </c>
      <c r="T15" s="825">
        <f t="shared" si="2"/>
        <v>625.9</v>
      </c>
      <c r="U15" s="825">
        <f t="shared" si="2"/>
        <v>622.69999999999993</v>
      </c>
      <c r="V15" s="826">
        <f t="shared" si="2"/>
        <v>628.30000000000007</v>
      </c>
      <c r="W15" s="827">
        <f>SUM(W8:W14)</f>
        <v>11352.7</v>
      </c>
    </row>
    <row r="16" spans="1:25" s="779" customFormat="1" ht="14.25" x14ac:dyDescent="0.25">
      <c r="A16" s="828" t="s">
        <v>11</v>
      </c>
      <c r="B16" s="829">
        <v>153.9399999999998</v>
      </c>
      <c r="C16" s="830">
        <v>153.9399999999998</v>
      </c>
      <c r="D16" s="830">
        <v>153.9399999999998</v>
      </c>
      <c r="E16" s="830">
        <v>153.9399999999998</v>
      </c>
      <c r="F16" s="830">
        <v>153.9399999999998</v>
      </c>
      <c r="G16" s="830">
        <v>153.9399999999998</v>
      </c>
      <c r="H16" s="831">
        <v>153.9399999999998</v>
      </c>
      <c r="I16" s="829">
        <v>153.9399999999998</v>
      </c>
      <c r="J16" s="830">
        <v>153.9399999999998</v>
      </c>
      <c r="K16" s="830">
        <v>153.9399999999998</v>
      </c>
      <c r="L16" s="830">
        <v>153.9399999999998</v>
      </c>
      <c r="M16" s="830">
        <v>153.9399999999998</v>
      </c>
      <c r="N16" s="830">
        <v>153.9399999999998</v>
      </c>
      <c r="O16" s="831">
        <v>153.9399999999998</v>
      </c>
      <c r="P16" s="829">
        <v>153.9399999999998</v>
      </c>
      <c r="Q16" s="830">
        <v>153.9399999999998</v>
      </c>
      <c r="R16" s="830">
        <v>153.9399999999998</v>
      </c>
      <c r="S16" s="830">
        <v>153.9399999999998</v>
      </c>
      <c r="T16" s="830">
        <v>153.9399999999998</v>
      </c>
      <c r="U16" s="830">
        <v>153.9399999999998</v>
      </c>
      <c r="V16" s="831">
        <v>153.9399999999998</v>
      </c>
      <c r="W16" s="832">
        <f>((W15/W17)/7)*1000</f>
        <v>154.10626052017156</v>
      </c>
    </row>
    <row r="17" spans="1:24" s="779" customFormat="1" ht="14.25" x14ac:dyDescent="0.25">
      <c r="A17" s="833" t="s">
        <v>12</v>
      </c>
      <c r="B17" s="834">
        <v>543</v>
      </c>
      <c r="C17" s="835">
        <v>538</v>
      </c>
      <c r="D17" s="835">
        <v>537</v>
      </c>
      <c r="E17" s="835">
        <v>88</v>
      </c>
      <c r="F17" s="835">
        <v>552</v>
      </c>
      <c r="G17" s="835">
        <v>539</v>
      </c>
      <c r="H17" s="836">
        <v>546</v>
      </c>
      <c r="I17" s="834">
        <v>567</v>
      </c>
      <c r="J17" s="835">
        <v>576</v>
      </c>
      <c r="K17" s="835">
        <v>590</v>
      </c>
      <c r="L17" s="835">
        <v>106</v>
      </c>
      <c r="M17" s="835">
        <v>581</v>
      </c>
      <c r="N17" s="835">
        <v>578</v>
      </c>
      <c r="O17" s="836">
        <v>586</v>
      </c>
      <c r="P17" s="834">
        <v>585</v>
      </c>
      <c r="Q17" s="835">
        <v>576</v>
      </c>
      <c r="R17" s="835">
        <v>573</v>
      </c>
      <c r="S17" s="835">
        <v>122</v>
      </c>
      <c r="T17" s="835">
        <v>581</v>
      </c>
      <c r="U17" s="835">
        <v>577</v>
      </c>
      <c r="V17" s="836">
        <v>583</v>
      </c>
      <c r="W17" s="837">
        <f>SUM(B17:V17)</f>
        <v>10524</v>
      </c>
    </row>
    <row r="18" spans="1:24" s="779" customFormat="1" ht="14.25" x14ac:dyDescent="0.25">
      <c r="A18" s="838" t="s">
        <v>13</v>
      </c>
      <c r="B18" s="839">
        <f>((((B16*7)*B17)/1000-B8)/6)</f>
        <v>83.537656666666535</v>
      </c>
      <c r="C18" s="842">
        <f t="shared" ref="C18:V18" si="3">((((C16*7)*C17)/1000-C8)/6)</f>
        <v>82.789673333333212</v>
      </c>
      <c r="D18" s="842">
        <f t="shared" si="3"/>
        <v>82.576743333333212</v>
      </c>
      <c r="E18" s="842">
        <f t="shared" si="3"/>
        <v>13.454506666666648</v>
      </c>
      <c r="F18" s="842">
        <f t="shared" si="3"/>
        <v>84.987359999999867</v>
      </c>
      <c r="G18" s="842">
        <f t="shared" si="3"/>
        <v>82.902603333333204</v>
      </c>
      <c r="H18" s="843">
        <f t="shared" si="3"/>
        <v>84.009779999999878</v>
      </c>
      <c r="I18" s="839">
        <f t="shared" si="3"/>
        <v>87.264643333333197</v>
      </c>
      <c r="J18" s="842">
        <f t="shared" si="3"/>
        <v>88.6310133333332</v>
      </c>
      <c r="K18" s="842">
        <f t="shared" si="3"/>
        <v>90.79536666666651</v>
      </c>
      <c r="L18" s="842">
        <f t="shared" si="3"/>
        <v>16.220579999999973</v>
      </c>
      <c r="M18" s="842">
        <f t="shared" si="3"/>
        <v>89.445663333333201</v>
      </c>
      <c r="N18" s="842">
        <f t="shared" si="3"/>
        <v>88.806873333333201</v>
      </c>
      <c r="O18" s="843">
        <f t="shared" si="3"/>
        <v>90.226979999999855</v>
      </c>
      <c r="P18" s="839">
        <f t="shared" si="3"/>
        <v>90.01404999999987</v>
      </c>
      <c r="Q18" s="842">
        <f t="shared" si="3"/>
        <v>88.481013333333195</v>
      </c>
      <c r="R18" s="842">
        <f t="shared" si="3"/>
        <v>88.092223333333195</v>
      </c>
      <c r="S18" s="842">
        <f t="shared" si="3"/>
        <v>18.610793333333309</v>
      </c>
      <c r="T18" s="842">
        <f t="shared" si="3"/>
        <v>89.412329999999869</v>
      </c>
      <c r="U18" s="842">
        <f t="shared" si="3"/>
        <v>88.760609999999858</v>
      </c>
      <c r="V18" s="843">
        <f t="shared" si="3"/>
        <v>89.704856666666544</v>
      </c>
      <c r="W18" s="840">
        <f>((W15*1000)/7)/W17</f>
        <v>154.10626052017159</v>
      </c>
    </row>
    <row r="19" spans="1:24" x14ac:dyDescent="0.25">
      <c r="A19" s="841" t="s">
        <v>14</v>
      </c>
      <c r="B19" s="839">
        <f>((B17*B16)*7)/1000</f>
        <v>585.12593999999922</v>
      </c>
      <c r="C19" s="842">
        <f>((C17*C16)*7)/1000</f>
        <v>579.73803999999927</v>
      </c>
      <c r="D19" s="842">
        <f t="shared" ref="D19:V19" si="4">((D17*D16)*7)/1000</f>
        <v>578.66045999999926</v>
      </c>
      <c r="E19" s="842">
        <f t="shared" si="4"/>
        <v>94.827039999999883</v>
      </c>
      <c r="F19" s="842">
        <f t="shared" si="4"/>
        <v>594.82415999999921</v>
      </c>
      <c r="G19" s="842">
        <f t="shared" si="4"/>
        <v>580.81561999999917</v>
      </c>
      <c r="H19" s="843">
        <f t="shared" si="4"/>
        <v>588.35867999999925</v>
      </c>
      <c r="I19" s="839">
        <f t="shared" si="4"/>
        <v>610.98785999999916</v>
      </c>
      <c r="J19" s="842">
        <f t="shared" si="4"/>
        <v>620.68607999999915</v>
      </c>
      <c r="K19" s="842">
        <f t="shared" si="4"/>
        <v>635.77219999999909</v>
      </c>
      <c r="L19" s="842">
        <f t="shared" si="4"/>
        <v>114.22347999999985</v>
      </c>
      <c r="M19" s="842">
        <f t="shared" si="4"/>
        <v>626.07397999999921</v>
      </c>
      <c r="N19" s="842">
        <f t="shared" si="4"/>
        <v>622.84123999999929</v>
      </c>
      <c r="O19" s="843">
        <f t="shared" si="4"/>
        <v>631.46187999999916</v>
      </c>
      <c r="P19" s="839">
        <f t="shared" si="4"/>
        <v>630.38429999999914</v>
      </c>
      <c r="Q19" s="842">
        <f t="shared" si="4"/>
        <v>620.68607999999915</v>
      </c>
      <c r="R19" s="842">
        <f t="shared" si="4"/>
        <v>617.45333999999912</v>
      </c>
      <c r="S19" s="842">
        <f t="shared" si="4"/>
        <v>131.46475999999984</v>
      </c>
      <c r="T19" s="842">
        <f t="shared" si="4"/>
        <v>626.07397999999921</v>
      </c>
      <c r="U19" s="842">
        <f t="shared" si="4"/>
        <v>621.76365999999916</v>
      </c>
      <c r="V19" s="843">
        <f t="shared" si="4"/>
        <v>628.22913999999923</v>
      </c>
      <c r="W19" s="844"/>
    </row>
    <row r="20" spans="1:24" ht="15.75" thickBot="1" x14ac:dyDescent="0.3">
      <c r="A20" s="845" t="s">
        <v>15</v>
      </c>
      <c r="B20" s="846">
        <f>+(B15/B17)/7*1000</f>
        <v>153.95948434622466</v>
      </c>
      <c r="C20" s="847">
        <f t="shared" ref="C20:V20" si="5">+(C15/C17)/7*1000</f>
        <v>154.19543281996812</v>
      </c>
      <c r="D20" s="847">
        <f t="shared" si="5"/>
        <v>154.32295823357276</v>
      </c>
      <c r="E20" s="847">
        <f t="shared" si="5"/>
        <v>153.89610389610391</v>
      </c>
      <c r="F20" s="847">
        <f t="shared" si="5"/>
        <v>153.90786749482402</v>
      </c>
      <c r="G20" s="847">
        <f t="shared" si="5"/>
        <v>153.935860058309</v>
      </c>
      <c r="H20" s="848">
        <f t="shared" si="5"/>
        <v>153.9769754055468</v>
      </c>
      <c r="I20" s="846">
        <f t="shared" si="5"/>
        <v>153.91786344167298</v>
      </c>
      <c r="J20" s="847">
        <f t="shared" si="5"/>
        <v>153.94345238095238</v>
      </c>
      <c r="K20" s="847">
        <f t="shared" si="5"/>
        <v>153.94673123486686</v>
      </c>
      <c r="L20" s="847">
        <f t="shared" si="5"/>
        <v>156.19946091644206</v>
      </c>
      <c r="M20" s="847">
        <f t="shared" si="5"/>
        <v>153.97098598475537</v>
      </c>
      <c r="N20" s="847">
        <f t="shared" si="5"/>
        <v>153.95452298566485</v>
      </c>
      <c r="O20" s="848">
        <f t="shared" si="5"/>
        <v>153.94929302779127</v>
      </c>
      <c r="P20" s="846">
        <f t="shared" si="5"/>
        <v>153.89499389499386</v>
      </c>
      <c r="Q20" s="847">
        <f t="shared" si="5"/>
        <v>154.61309523809524</v>
      </c>
      <c r="R20" s="847">
        <f t="shared" si="5"/>
        <v>154.12615307903263</v>
      </c>
      <c r="S20" s="847">
        <f t="shared" si="5"/>
        <v>158.43091334894615</v>
      </c>
      <c r="T20" s="847">
        <f t="shared" si="5"/>
        <v>153.89722153921809</v>
      </c>
      <c r="U20" s="847">
        <f t="shared" si="5"/>
        <v>154.17182470908639</v>
      </c>
      <c r="V20" s="848">
        <f t="shared" si="5"/>
        <v>153.95736339132566</v>
      </c>
      <c r="W20" s="849"/>
    </row>
    <row r="21" spans="1:24" x14ac:dyDescent="0.25">
      <c r="A21" s="779"/>
      <c r="B21" s="850">
        <f t="shared" ref="B21:V21" si="6">B19-B15</f>
        <v>-7.4060000000713444E-2</v>
      </c>
      <c r="C21" s="850">
        <f t="shared" si="6"/>
        <v>-0.96196000000065851</v>
      </c>
      <c r="D21" s="850">
        <f t="shared" si="6"/>
        <v>-1.4395400000007612</v>
      </c>
      <c r="E21" s="850">
        <f t="shared" si="6"/>
        <v>2.7039999999871611E-2</v>
      </c>
      <c r="F21" s="850">
        <f t="shared" si="6"/>
        <v>0.12415999999916494</v>
      </c>
      <c r="G21" s="850">
        <f t="shared" si="6"/>
        <v>1.5619999999216816E-2</v>
      </c>
      <c r="H21" s="850">
        <f t="shared" si="6"/>
        <v>-0.14132000000063272</v>
      </c>
      <c r="I21" s="850">
        <f t="shared" si="6"/>
        <v>8.785999999906835E-2</v>
      </c>
      <c r="J21" s="850">
        <f t="shared" si="6"/>
        <v>-1.3920000000894106E-2</v>
      </c>
      <c r="K21" s="850">
        <f t="shared" si="6"/>
        <v>-2.7800000000979708E-2</v>
      </c>
      <c r="L21" s="850">
        <f t="shared" si="6"/>
        <v>-1.6765200000001528</v>
      </c>
      <c r="M21" s="850">
        <f t="shared" si="6"/>
        <v>-0.12602000000083535</v>
      </c>
      <c r="N21" s="850">
        <f t="shared" si="6"/>
        <v>-5.8760000000688706E-2</v>
      </c>
      <c r="O21" s="850">
        <f t="shared" si="6"/>
        <v>-3.8120000000731125E-2</v>
      </c>
      <c r="P21" s="850">
        <f t="shared" si="6"/>
        <v>0.18429999999921165</v>
      </c>
      <c r="Q21" s="850">
        <f t="shared" si="6"/>
        <v>-2.7139200000008259</v>
      </c>
      <c r="R21" s="850">
        <f t="shared" si="6"/>
        <v>-0.74666000000081567</v>
      </c>
      <c r="S21" s="850">
        <f t="shared" si="6"/>
        <v>-3.8352400000001694</v>
      </c>
      <c r="T21" s="850">
        <f t="shared" si="6"/>
        <v>0.17397999999923286</v>
      </c>
      <c r="U21" s="850">
        <f t="shared" si="6"/>
        <v>-0.93634000000076867</v>
      </c>
      <c r="V21" s="850">
        <f t="shared" si="6"/>
        <v>-7.0860000000834589E-2</v>
      </c>
      <c r="W21" s="851"/>
      <c r="X21" s="851"/>
    </row>
    <row r="22" spans="1:24" x14ac:dyDescent="0.25">
      <c r="A22" s="779"/>
      <c r="B22" s="922">
        <f>(B21+B25)/$A$2</f>
        <v>-7.4060000000713444E-2</v>
      </c>
      <c r="C22" s="922">
        <f t="shared" ref="C22:V22" si="7">(C21+C25)/$A$2</f>
        <v>-0.96196000000065851</v>
      </c>
      <c r="D22" s="922">
        <f t="shared" si="7"/>
        <v>-1.4395400000007612</v>
      </c>
      <c r="E22" s="922">
        <f t="shared" si="7"/>
        <v>2.7039999999871611E-2</v>
      </c>
      <c r="F22" s="922">
        <f t="shared" si="7"/>
        <v>0.12415999999916494</v>
      </c>
      <c r="G22" s="922">
        <f t="shared" si="7"/>
        <v>1.5619999999216816E-2</v>
      </c>
      <c r="H22" s="922">
        <f t="shared" si="7"/>
        <v>-0.14132000000063272</v>
      </c>
      <c r="I22" s="922">
        <f t="shared" si="7"/>
        <v>8.785999999906835E-2</v>
      </c>
      <c r="J22" s="922">
        <f t="shared" si="7"/>
        <v>-1.3920000000894106E-2</v>
      </c>
      <c r="K22" s="922">
        <f t="shared" si="7"/>
        <v>-2.7800000000979708E-2</v>
      </c>
      <c r="L22" s="922">
        <f t="shared" si="7"/>
        <v>-1.6765200000001528</v>
      </c>
      <c r="M22" s="922">
        <f t="shared" si="7"/>
        <v>-0.12602000000083535</v>
      </c>
      <c r="N22" s="922">
        <f t="shared" si="7"/>
        <v>-5.8760000000688706E-2</v>
      </c>
      <c r="O22" s="922">
        <f t="shared" si="7"/>
        <v>-3.8120000000731125E-2</v>
      </c>
      <c r="P22" s="922">
        <f t="shared" si="7"/>
        <v>0.18429999999921165</v>
      </c>
      <c r="Q22" s="922">
        <f t="shared" si="7"/>
        <v>-2.7139200000008259</v>
      </c>
      <c r="R22" s="922">
        <f t="shared" si="7"/>
        <v>-0.74666000000081567</v>
      </c>
      <c r="S22" s="922">
        <f t="shared" si="7"/>
        <v>-3.8352400000001694</v>
      </c>
      <c r="T22" s="922">
        <f t="shared" si="7"/>
        <v>0.17397999999923286</v>
      </c>
      <c r="U22" s="922">
        <f t="shared" si="7"/>
        <v>-0.93634000000076867</v>
      </c>
      <c r="V22" s="922">
        <f t="shared" si="7"/>
        <v>-7.0860000000834589E-2</v>
      </c>
      <c r="W22" s="852"/>
    </row>
    <row r="23" spans="1:24" x14ac:dyDescent="0.25">
      <c r="A23" s="779"/>
      <c r="B23" s="922">
        <f>B22 + SUMIF($A$8:$A$14, $A$3,B8:B14)</f>
        <v>83.325939999999292</v>
      </c>
      <c r="C23" s="922">
        <f t="shared" ref="C23:V23" si="8">C22 + SUMIF($A$8:$A$14, $A$3,C8:C14)</f>
        <v>81.938039999999347</v>
      </c>
      <c r="D23" s="922">
        <f t="shared" si="8"/>
        <v>81.060459999999239</v>
      </c>
      <c r="E23" s="922">
        <f t="shared" si="8"/>
        <v>13.227039999999871</v>
      </c>
      <c r="F23" s="922">
        <f t="shared" si="8"/>
        <v>85.124159999999165</v>
      </c>
      <c r="G23" s="922">
        <f t="shared" si="8"/>
        <v>82.815619999999214</v>
      </c>
      <c r="H23" s="922">
        <f t="shared" si="8"/>
        <v>83.758679999999373</v>
      </c>
      <c r="I23" s="922">
        <f t="shared" si="8"/>
        <v>87.287859999999071</v>
      </c>
      <c r="J23" s="922">
        <f t="shared" si="8"/>
        <v>88.486079999999106</v>
      </c>
      <c r="K23" s="922">
        <f t="shared" si="8"/>
        <v>90.672199999999023</v>
      </c>
      <c r="L23" s="922">
        <f t="shared" si="8"/>
        <v>14.523479999999847</v>
      </c>
      <c r="M23" s="922">
        <f t="shared" si="8"/>
        <v>89.373979999999165</v>
      </c>
      <c r="N23" s="922">
        <f t="shared" si="8"/>
        <v>88.241239999999308</v>
      </c>
      <c r="O23" s="922">
        <f t="shared" si="8"/>
        <v>90.261879999999266</v>
      </c>
      <c r="P23" s="922">
        <f t="shared" si="8"/>
        <v>90.084299999999217</v>
      </c>
      <c r="Q23" s="922">
        <f t="shared" si="8"/>
        <v>85.586079999999171</v>
      </c>
      <c r="R23" s="922">
        <f t="shared" si="8"/>
        <v>87.15333999999919</v>
      </c>
      <c r="S23" s="922">
        <f t="shared" si="8"/>
        <v>14.764759999999832</v>
      </c>
      <c r="T23" s="922">
        <f t="shared" si="8"/>
        <v>89.47397999999923</v>
      </c>
      <c r="U23" s="922">
        <f t="shared" si="8"/>
        <v>87.863659999999228</v>
      </c>
      <c r="V23" s="922">
        <f t="shared" si="8"/>
        <v>89.52913999999916</v>
      </c>
      <c r="W23" s="852"/>
    </row>
    <row r="24" spans="1:24" ht="5.25" customHeight="1" x14ac:dyDescent="0.25">
      <c r="A24" s="779"/>
      <c r="B24" s="923"/>
      <c r="C24" s="923"/>
      <c r="D24" s="923"/>
      <c r="E24" s="923"/>
      <c r="F24" s="923"/>
      <c r="G24" s="923"/>
      <c r="H24" s="923"/>
      <c r="I24" s="923"/>
      <c r="J24" s="923"/>
      <c r="K24" s="923"/>
      <c r="L24" s="923"/>
      <c r="M24" s="923"/>
      <c r="N24" s="923"/>
      <c r="O24" s="923"/>
      <c r="P24" s="923"/>
      <c r="Q24" s="923"/>
      <c r="R24" s="923"/>
      <c r="S24" s="923"/>
      <c r="T24" s="923"/>
      <c r="U24" s="923"/>
      <c r="V24" s="923"/>
      <c r="W24" s="852"/>
    </row>
    <row r="25" spans="1:24" ht="5.25" customHeight="1" x14ac:dyDescent="0.25">
      <c r="A25" s="779"/>
      <c r="B25" s="852"/>
      <c r="C25" s="852"/>
      <c r="D25" s="852"/>
      <c r="E25" s="852"/>
      <c r="F25" s="852"/>
      <c r="G25" s="852"/>
      <c r="H25" s="852"/>
      <c r="I25" s="852"/>
      <c r="J25" s="852"/>
      <c r="K25" s="852"/>
      <c r="L25" s="852"/>
      <c r="M25" s="852"/>
      <c r="N25" s="852"/>
      <c r="O25" s="852"/>
      <c r="P25" s="852"/>
      <c r="Q25" s="852"/>
      <c r="R25" s="852"/>
      <c r="S25" s="852"/>
      <c r="T25" s="852"/>
      <c r="U25" s="852"/>
      <c r="V25" s="852"/>
      <c r="W25" s="852"/>
    </row>
    <row r="26" spans="1:24" ht="5.25" customHeight="1" thickBot="1" x14ac:dyDescent="0.3">
      <c r="A26" s="779"/>
      <c r="B26" s="852"/>
      <c r="C26" s="852"/>
      <c r="D26" s="852"/>
      <c r="E26" s="852"/>
      <c r="F26" s="852"/>
      <c r="G26" s="852"/>
      <c r="H26" s="852"/>
      <c r="I26" s="852"/>
      <c r="J26" s="852"/>
      <c r="K26" s="852"/>
      <c r="L26" s="852"/>
      <c r="M26" s="852"/>
      <c r="N26" s="852"/>
      <c r="O26" s="852"/>
      <c r="P26" s="852"/>
      <c r="Q26" s="852"/>
      <c r="R26" s="852"/>
      <c r="S26" s="852"/>
      <c r="T26" s="852"/>
      <c r="U26" s="852"/>
      <c r="V26" s="852"/>
      <c r="W26" s="852"/>
    </row>
    <row r="27" spans="1:24" ht="15.75" thickBot="1" x14ac:dyDescent="0.3">
      <c r="A27" s="853" t="s">
        <v>16</v>
      </c>
      <c r="B27" s="1082" t="s">
        <v>8</v>
      </c>
      <c r="C27" s="1083"/>
      <c r="D27" s="1083"/>
      <c r="E27" s="1083"/>
      <c r="F27" s="1083"/>
      <c r="G27" s="1083"/>
      <c r="H27" s="854"/>
      <c r="J27" s="851"/>
      <c r="K27" s="851"/>
      <c r="L27" s="851"/>
      <c r="M27" s="1086" t="s">
        <v>18</v>
      </c>
      <c r="N27" s="1087"/>
      <c r="O27" s="1083" t="s">
        <v>8</v>
      </c>
      <c r="P27" s="1083"/>
      <c r="Q27" s="1083"/>
      <c r="R27" s="1083"/>
      <c r="S27" s="1083"/>
      <c r="T27" s="1083"/>
      <c r="U27" s="855"/>
      <c r="V27" s="779"/>
      <c r="W27" s="779"/>
    </row>
    <row r="28" spans="1:24" ht="15.75" thickBot="1" x14ac:dyDescent="0.3">
      <c r="A28" s="856" t="s">
        <v>34</v>
      </c>
      <c r="B28" s="801"/>
      <c r="C28" s="857"/>
      <c r="D28" s="857"/>
      <c r="E28" s="857"/>
      <c r="F28" s="857"/>
      <c r="G28" s="857"/>
      <c r="H28" s="856" t="s">
        <v>9</v>
      </c>
      <c r="I28" s="858"/>
      <c r="J28" s="851"/>
      <c r="K28" s="851"/>
      <c r="L28" s="851"/>
      <c r="M28" s="1088" t="s">
        <v>33</v>
      </c>
      <c r="N28" s="1089"/>
      <c r="O28" s="941"/>
      <c r="P28" s="860"/>
      <c r="Q28" s="860"/>
      <c r="R28" s="860"/>
      <c r="S28" s="860"/>
      <c r="T28" s="860"/>
      <c r="U28" s="797" t="s">
        <v>9</v>
      </c>
      <c r="V28" s="858"/>
      <c r="W28" s="861"/>
    </row>
    <row r="29" spans="1:24" ht="15.75" thickBot="1" x14ac:dyDescent="0.3">
      <c r="A29" s="862" t="s">
        <v>10</v>
      </c>
      <c r="B29" s="859">
        <v>1</v>
      </c>
      <c r="C29" s="863">
        <v>2</v>
      </c>
      <c r="D29" s="863">
        <v>3</v>
      </c>
      <c r="E29" s="863">
        <v>4</v>
      </c>
      <c r="F29" s="863">
        <v>5</v>
      </c>
      <c r="G29" s="863">
        <v>6</v>
      </c>
      <c r="H29" s="856">
        <v>412.4</v>
      </c>
      <c r="I29" s="858"/>
      <c r="J29" s="851"/>
      <c r="K29" s="851"/>
      <c r="L29" s="851"/>
      <c r="M29" s="1090" t="s">
        <v>10</v>
      </c>
      <c r="N29" s="1091"/>
      <c r="O29" s="942">
        <v>1</v>
      </c>
      <c r="P29" s="864">
        <v>2</v>
      </c>
      <c r="Q29" s="864">
        <v>3</v>
      </c>
      <c r="R29" s="864">
        <v>4</v>
      </c>
      <c r="S29" s="864">
        <v>5</v>
      </c>
      <c r="T29" s="865">
        <v>6</v>
      </c>
      <c r="U29" s="797">
        <v>31.4</v>
      </c>
      <c r="V29" s="858"/>
      <c r="W29" s="866"/>
    </row>
    <row r="30" spans="1:24" ht="13.5" customHeight="1" x14ac:dyDescent="0.25">
      <c r="A30" s="808" t="s">
        <v>51</v>
      </c>
      <c r="B30" s="867">
        <v>76.7</v>
      </c>
      <c r="C30" s="810">
        <v>74.3</v>
      </c>
      <c r="D30" s="868">
        <v>4.5999999999999996</v>
      </c>
      <c r="E30" s="814">
        <v>82.3</v>
      </c>
      <c r="F30" s="810">
        <v>83.5</v>
      </c>
      <c r="G30" s="812">
        <v>84.5</v>
      </c>
      <c r="H30" s="953">
        <f t="shared" ref="H30:H37" si="9">SUM(B30:G30)</f>
        <v>405.9</v>
      </c>
      <c r="I30" s="815">
        <f>H30-H29</f>
        <v>-6.5</v>
      </c>
      <c r="J30" s="851"/>
      <c r="K30" s="851"/>
      <c r="L30" s="851"/>
      <c r="M30" s="1092" t="s">
        <v>51</v>
      </c>
      <c r="N30" s="1093"/>
      <c r="O30" s="813">
        <v>5.7</v>
      </c>
      <c r="P30" s="810">
        <v>5.7</v>
      </c>
      <c r="Q30" s="810">
        <v>0.7</v>
      </c>
      <c r="R30" s="810">
        <v>6.4</v>
      </c>
      <c r="S30" s="810">
        <v>6.4</v>
      </c>
      <c r="T30" s="812">
        <v>6.2</v>
      </c>
      <c r="U30" s="953">
        <f t="shared" ref="U30:U37" si="10">SUM(O30:T30)</f>
        <v>31.099999999999998</v>
      </c>
      <c r="V30" s="815">
        <f>U30-U29</f>
        <v>-0.30000000000000071</v>
      </c>
      <c r="W30" s="866"/>
    </row>
    <row r="31" spans="1:24" ht="13.5" customHeight="1" x14ac:dyDescent="0.25">
      <c r="A31" s="808" t="s">
        <v>24</v>
      </c>
      <c r="B31" s="809">
        <v>76.599999999999994</v>
      </c>
      <c r="C31" s="810">
        <v>74.3</v>
      </c>
      <c r="D31" s="868">
        <v>4.5999999999999996</v>
      </c>
      <c r="E31" s="810">
        <v>82.2</v>
      </c>
      <c r="F31" s="810">
        <v>83.5</v>
      </c>
      <c r="G31" s="949">
        <v>84.5</v>
      </c>
      <c r="H31" s="951">
        <f t="shared" si="9"/>
        <v>405.7</v>
      </c>
      <c r="I31" s="815">
        <f>H31-H30</f>
        <v>-0.19999999999998863</v>
      </c>
      <c r="J31" s="851"/>
      <c r="K31" s="851"/>
      <c r="L31" s="851"/>
      <c r="M31" s="1092" t="s">
        <v>24</v>
      </c>
      <c r="N31" s="1093"/>
      <c r="O31" s="813">
        <v>5.7</v>
      </c>
      <c r="P31" s="810">
        <v>5.7</v>
      </c>
      <c r="Q31" s="810">
        <v>0.7</v>
      </c>
      <c r="R31" s="810">
        <v>6.4</v>
      </c>
      <c r="S31" s="810">
        <v>6.4</v>
      </c>
      <c r="T31" s="812">
        <v>6.2</v>
      </c>
      <c r="U31" s="951">
        <f t="shared" si="10"/>
        <v>31.099999999999998</v>
      </c>
      <c r="V31" s="815">
        <f>U31-U30</f>
        <v>0</v>
      </c>
      <c r="W31" s="866"/>
    </row>
    <row r="32" spans="1:24" ht="13.5" customHeight="1" x14ac:dyDescent="0.25">
      <c r="A32" s="808" t="s">
        <v>20</v>
      </c>
      <c r="B32" s="809">
        <v>76.599999999999994</v>
      </c>
      <c r="C32" s="810">
        <v>74.3</v>
      </c>
      <c r="D32" s="954">
        <v>4.5999999999999996</v>
      </c>
      <c r="E32" s="810">
        <v>82.2</v>
      </c>
      <c r="F32" s="810">
        <v>83.5</v>
      </c>
      <c r="G32" s="812">
        <v>84.4</v>
      </c>
      <c r="H32" s="951">
        <f t="shared" si="9"/>
        <v>405.6</v>
      </c>
      <c r="I32" s="815">
        <f t="shared" ref="I32:I36" si="11">H32-H31</f>
        <v>-9.9999999999965894E-2</v>
      </c>
      <c r="J32" s="869"/>
      <c r="K32" s="869"/>
      <c r="L32" s="869"/>
      <c r="M32" s="1092" t="s">
        <v>20</v>
      </c>
      <c r="N32" s="1093"/>
      <c r="O32" s="813">
        <v>5.7</v>
      </c>
      <c r="P32" s="810">
        <v>5.7</v>
      </c>
      <c r="Q32" s="810">
        <v>0.6</v>
      </c>
      <c r="R32" s="810">
        <v>6.4</v>
      </c>
      <c r="S32" s="810">
        <v>6.4</v>
      </c>
      <c r="T32" s="812">
        <v>6.2</v>
      </c>
      <c r="U32" s="951">
        <f t="shared" si="10"/>
        <v>30.999999999999996</v>
      </c>
      <c r="V32" s="815">
        <f t="shared" ref="V32:V36" si="12">U32-U31</f>
        <v>-0.10000000000000142</v>
      </c>
      <c r="W32" s="866"/>
    </row>
    <row r="33" spans="1:26" ht="13.5" customHeight="1" x14ac:dyDescent="0.25">
      <c r="A33" s="820" t="s">
        <v>28</v>
      </c>
      <c r="B33" s="809">
        <v>76.5</v>
      </c>
      <c r="C33" s="810">
        <v>74.5</v>
      </c>
      <c r="D33" s="956">
        <v>3.8</v>
      </c>
      <c r="E33" s="810">
        <v>81.7</v>
      </c>
      <c r="F33" s="810">
        <v>83.1</v>
      </c>
      <c r="G33" s="812">
        <v>84.3</v>
      </c>
      <c r="H33" s="951">
        <f t="shared" si="9"/>
        <v>403.90000000000003</v>
      </c>
      <c r="I33" s="870">
        <f t="shared" si="11"/>
        <v>-1.6999999999999886</v>
      </c>
      <c r="J33" s="779"/>
      <c r="K33" s="779"/>
      <c r="L33" s="779"/>
      <c r="M33" s="1092" t="s">
        <v>28</v>
      </c>
      <c r="N33" s="1093"/>
      <c r="O33" s="813">
        <v>5.8</v>
      </c>
      <c r="P33" s="810">
        <v>5.7</v>
      </c>
      <c r="Q33" s="810">
        <v>0.6</v>
      </c>
      <c r="R33" s="810">
        <v>6.5</v>
      </c>
      <c r="S33" s="810">
        <v>6.5</v>
      </c>
      <c r="T33" s="812">
        <v>6.2</v>
      </c>
      <c r="U33" s="951">
        <f t="shared" si="10"/>
        <v>31.3</v>
      </c>
      <c r="V33" s="815">
        <f t="shared" si="12"/>
        <v>0.30000000000000426</v>
      </c>
      <c r="W33" s="866"/>
    </row>
    <row r="34" spans="1:26" ht="13.5" customHeight="1" x14ac:dyDescent="0.25">
      <c r="A34" s="808" t="s">
        <v>21</v>
      </c>
      <c r="B34" s="809">
        <v>76.5</v>
      </c>
      <c r="C34" s="810">
        <v>74.5</v>
      </c>
      <c r="D34" s="868">
        <v>3.7</v>
      </c>
      <c r="E34" s="810">
        <v>81.7</v>
      </c>
      <c r="F34" s="810">
        <v>83.1</v>
      </c>
      <c r="G34" s="812">
        <v>84.3</v>
      </c>
      <c r="H34" s="951">
        <f t="shared" si="9"/>
        <v>403.8</v>
      </c>
      <c r="I34" s="815">
        <f t="shared" si="11"/>
        <v>-0.10000000000002274</v>
      </c>
      <c r="J34" s="861"/>
      <c r="K34" s="861"/>
      <c r="L34" s="861"/>
      <c r="M34" s="1092" t="s">
        <v>21</v>
      </c>
      <c r="N34" s="1093"/>
      <c r="O34" s="813">
        <v>5.8</v>
      </c>
      <c r="P34" s="810">
        <v>5.7</v>
      </c>
      <c r="Q34" s="810">
        <v>0.6</v>
      </c>
      <c r="R34" s="810">
        <v>6.5</v>
      </c>
      <c r="S34" s="810">
        <v>6.5</v>
      </c>
      <c r="T34" s="812">
        <v>6.2</v>
      </c>
      <c r="U34" s="951">
        <f t="shared" si="10"/>
        <v>31.3</v>
      </c>
      <c r="V34" s="815">
        <f t="shared" si="12"/>
        <v>0</v>
      </c>
      <c r="W34" s="866"/>
    </row>
    <row r="35" spans="1:26" ht="13.5" customHeight="1" x14ac:dyDescent="0.25">
      <c r="A35" s="808" t="s">
        <v>22</v>
      </c>
      <c r="B35" s="867">
        <v>76.5</v>
      </c>
      <c r="C35" s="810">
        <v>74.5</v>
      </c>
      <c r="D35" s="868">
        <v>3.7</v>
      </c>
      <c r="E35" s="962">
        <v>81.7</v>
      </c>
      <c r="F35" s="962">
        <v>83.1</v>
      </c>
      <c r="G35" s="955">
        <v>84.3</v>
      </c>
      <c r="H35" s="951">
        <f t="shared" si="9"/>
        <v>403.8</v>
      </c>
      <c r="I35" s="815">
        <f t="shared" si="11"/>
        <v>0</v>
      </c>
      <c r="J35" s="851"/>
      <c r="K35" s="851"/>
      <c r="L35" s="851"/>
      <c r="M35" s="1092" t="s">
        <v>22</v>
      </c>
      <c r="N35" s="1093"/>
      <c r="O35" s="813">
        <v>5.8</v>
      </c>
      <c r="P35" s="810">
        <v>5.7</v>
      </c>
      <c r="Q35" s="810">
        <v>0.6</v>
      </c>
      <c r="R35" s="814">
        <v>6.5</v>
      </c>
      <c r="S35" s="810">
        <v>6.5</v>
      </c>
      <c r="T35" s="812">
        <v>6.2</v>
      </c>
      <c r="U35" s="951">
        <f t="shared" si="10"/>
        <v>31.3</v>
      </c>
      <c r="V35" s="815">
        <f t="shared" si="12"/>
        <v>0</v>
      </c>
      <c r="W35" s="866"/>
    </row>
    <row r="36" spans="1:26" ht="13.5" customHeight="1" thickBot="1" x14ac:dyDescent="0.3">
      <c r="A36" s="808" t="s">
        <v>23</v>
      </c>
      <c r="B36" s="867">
        <v>76.400000000000006</v>
      </c>
      <c r="C36" s="810">
        <v>74.5</v>
      </c>
      <c r="D36" s="956">
        <v>3.7</v>
      </c>
      <c r="E36" s="810">
        <v>81.099999999999994</v>
      </c>
      <c r="F36" s="810">
        <v>82.5</v>
      </c>
      <c r="G36" s="812">
        <v>84</v>
      </c>
      <c r="H36" s="966">
        <f t="shared" si="9"/>
        <v>402.2</v>
      </c>
      <c r="I36" s="815">
        <f t="shared" si="11"/>
        <v>-1.6000000000000227</v>
      </c>
      <c r="J36" s="779"/>
      <c r="K36" s="779"/>
      <c r="L36" s="779"/>
      <c r="M36" s="1092" t="s">
        <v>23</v>
      </c>
      <c r="N36" s="1093"/>
      <c r="O36" s="927">
        <v>5.8</v>
      </c>
      <c r="P36" s="925">
        <v>5.8</v>
      </c>
      <c r="Q36" s="925">
        <v>0.7</v>
      </c>
      <c r="R36" s="925">
        <v>6.4</v>
      </c>
      <c r="S36" s="925">
        <v>6.5</v>
      </c>
      <c r="T36" s="926">
        <v>6.2</v>
      </c>
      <c r="U36" s="966">
        <f t="shared" si="10"/>
        <v>31.4</v>
      </c>
      <c r="V36" s="815">
        <f t="shared" si="12"/>
        <v>9.9999999999997868E-2</v>
      </c>
      <c r="W36" s="866"/>
      <c r="Z36" s="871"/>
    </row>
    <row r="37" spans="1:26" ht="15.75" thickBot="1" x14ac:dyDescent="0.3">
      <c r="A37" s="800" t="s">
        <v>9</v>
      </c>
      <c r="B37" s="933">
        <f t="shared" ref="B37:G37" si="13">SUM(B30:B36)</f>
        <v>535.79999999999995</v>
      </c>
      <c r="C37" s="934">
        <f t="shared" si="13"/>
        <v>520.9</v>
      </c>
      <c r="D37" s="934">
        <f>SUM(D30:D36)</f>
        <v>28.699999999999996</v>
      </c>
      <c r="E37" s="934">
        <f t="shared" si="13"/>
        <v>572.9</v>
      </c>
      <c r="F37" s="934">
        <f t="shared" si="13"/>
        <v>582.30000000000007</v>
      </c>
      <c r="G37" s="939">
        <f t="shared" si="13"/>
        <v>590.29999999999995</v>
      </c>
      <c r="H37" s="940">
        <f t="shared" si="9"/>
        <v>2830.8999999999996</v>
      </c>
      <c r="I37" s="872"/>
      <c r="J37" s="851"/>
      <c r="K37" s="851"/>
      <c r="L37" s="851"/>
      <c r="M37" s="1090" t="s">
        <v>9</v>
      </c>
      <c r="N37" s="1091"/>
      <c r="O37" s="933">
        <f t="shared" ref="O37:T37" si="14">SUM(O30:O36)</f>
        <v>40.299999999999997</v>
      </c>
      <c r="P37" s="934">
        <f t="shared" si="14"/>
        <v>40</v>
      </c>
      <c r="Q37" s="934">
        <f t="shared" si="14"/>
        <v>4.5</v>
      </c>
      <c r="R37" s="934">
        <f t="shared" si="14"/>
        <v>45.1</v>
      </c>
      <c r="S37" s="934">
        <f t="shared" si="14"/>
        <v>45.2</v>
      </c>
      <c r="T37" s="939">
        <f t="shared" si="14"/>
        <v>43.400000000000006</v>
      </c>
      <c r="U37" s="935">
        <f t="shared" si="10"/>
        <v>218.50000000000003</v>
      </c>
      <c r="V37" s="851"/>
      <c r="W37" s="779"/>
    </row>
    <row r="38" spans="1:26" x14ac:dyDescent="0.25">
      <c r="A38" s="828" t="s">
        <v>11</v>
      </c>
      <c r="B38" s="936">
        <v>152.82</v>
      </c>
      <c r="C38" s="937">
        <v>152.82</v>
      </c>
      <c r="D38" s="937">
        <v>152.82</v>
      </c>
      <c r="E38" s="937">
        <v>152.82</v>
      </c>
      <c r="F38" s="937">
        <v>152.82</v>
      </c>
      <c r="G38" s="938">
        <v>152.82</v>
      </c>
      <c r="H38" s="929">
        <f>+((H37/H39)/7)*1000</f>
        <v>153.41968350314326</v>
      </c>
      <c r="I38" s="872"/>
      <c r="J38" s="851"/>
      <c r="K38" s="851"/>
      <c r="L38" s="851"/>
      <c r="M38" s="1062" t="s">
        <v>11</v>
      </c>
      <c r="N38" s="1063"/>
      <c r="O38" s="943">
        <v>155.5</v>
      </c>
      <c r="P38" s="930">
        <v>154.5</v>
      </c>
      <c r="Q38" s="930">
        <v>160</v>
      </c>
      <c r="R38" s="930">
        <v>157.5</v>
      </c>
      <c r="S38" s="930">
        <v>157.5</v>
      </c>
      <c r="T38" s="931">
        <v>159</v>
      </c>
      <c r="U38" s="929">
        <f>+((U37/U39)/7)*1000</f>
        <v>157.64790764790766</v>
      </c>
      <c r="V38" s="877"/>
    </row>
    <row r="39" spans="1:26" x14ac:dyDescent="0.25">
      <c r="A39" s="833" t="s">
        <v>12</v>
      </c>
      <c r="B39" s="834">
        <v>500</v>
      </c>
      <c r="C39" s="835">
        <v>487</v>
      </c>
      <c r="D39" s="835">
        <v>26</v>
      </c>
      <c r="E39" s="835">
        <v>532</v>
      </c>
      <c r="F39" s="835">
        <v>541</v>
      </c>
      <c r="G39" s="836">
        <v>550</v>
      </c>
      <c r="H39" s="878">
        <f>SUM(B39:G39)</f>
        <v>2636</v>
      </c>
      <c r="I39" s="872"/>
      <c r="J39" s="779"/>
      <c r="K39" s="779"/>
      <c r="L39" s="851"/>
      <c r="M39" s="1064" t="s">
        <v>12</v>
      </c>
      <c r="N39" s="1065"/>
      <c r="O39" s="944">
        <v>37</v>
      </c>
      <c r="P39" s="879">
        <v>37</v>
      </c>
      <c r="Q39" s="879">
        <v>4</v>
      </c>
      <c r="R39" s="879">
        <v>40</v>
      </c>
      <c r="S39" s="879">
        <v>41</v>
      </c>
      <c r="T39" s="932">
        <v>39</v>
      </c>
      <c r="U39" s="880">
        <f>SUM(O39:T39)</f>
        <v>198</v>
      </c>
      <c r="V39" s="881"/>
    </row>
    <row r="40" spans="1:26" x14ac:dyDescent="0.25">
      <c r="A40" s="838" t="s">
        <v>13</v>
      </c>
      <c r="B40" s="839">
        <f>((((B38*7)*B39)/1000-B30)/6)</f>
        <v>76.361666666666665</v>
      </c>
      <c r="C40" s="842">
        <f t="shared" ref="C40:G40" si="15">((((C38*7)*C39)/1000-C30)/6)</f>
        <v>74.443896666666674</v>
      </c>
      <c r="D40" s="842">
        <f t="shared" si="15"/>
        <v>3.8688733333333332</v>
      </c>
      <c r="E40" s="842">
        <f t="shared" si="15"/>
        <v>81.133613333333344</v>
      </c>
      <c r="F40" s="842">
        <f t="shared" si="15"/>
        <v>82.538223333333335</v>
      </c>
      <c r="G40" s="843">
        <f t="shared" si="15"/>
        <v>83.976166666666657</v>
      </c>
      <c r="H40" s="882">
        <f>((H37*1000)/H39)/7</f>
        <v>153.41968350314326</v>
      </c>
      <c r="I40" s="883"/>
      <c r="J40" s="883"/>
      <c r="K40" s="779"/>
      <c r="L40" s="851"/>
      <c r="M40" s="1066" t="s">
        <v>13</v>
      </c>
      <c r="N40" s="1067"/>
      <c r="O40" s="913">
        <f>((((O38*7)*O39)/1000/7))</f>
        <v>5.7535000000000007</v>
      </c>
      <c r="P40" s="842">
        <f t="shared" ref="P40:T40" si="16">((((P38*7)*P39)/1000-P30-P31)/5)</f>
        <v>5.7231000000000005</v>
      </c>
      <c r="Q40" s="842">
        <f t="shared" si="16"/>
        <v>0.61599999999999999</v>
      </c>
      <c r="R40" s="842">
        <f t="shared" si="16"/>
        <v>6.2600000000000007</v>
      </c>
      <c r="S40" s="842">
        <f t="shared" si="16"/>
        <v>6.480500000000001</v>
      </c>
      <c r="T40" s="843">
        <f t="shared" si="16"/>
        <v>6.2013999999999987</v>
      </c>
      <c r="U40" s="884">
        <f>((U37*1000)/U39)/7</f>
        <v>157.64790764790766</v>
      </c>
      <c r="V40" s="885"/>
    </row>
    <row r="41" spans="1:26" x14ac:dyDescent="0.25">
      <c r="A41" s="841" t="s">
        <v>14</v>
      </c>
      <c r="B41" s="839">
        <f>((B39*B38)*7)/1000</f>
        <v>534.87</v>
      </c>
      <c r="C41" s="842">
        <f t="shared" ref="C41:G41" si="17">((C39*C38)*7)/1000</f>
        <v>520.96338000000003</v>
      </c>
      <c r="D41" s="842">
        <f t="shared" si="17"/>
        <v>27.813239999999997</v>
      </c>
      <c r="E41" s="842">
        <f t="shared" si="17"/>
        <v>569.10167999999999</v>
      </c>
      <c r="F41" s="842">
        <f t="shared" si="17"/>
        <v>578.72933999999998</v>
      </c>
      <c r="G41" s="843">
        <f t="shared" si="17"/>
        <v>588.35699999999997</v>
      </c>
      <c r="H41" s="886"/>
      <c r="I41" s="780"/>
      <c r="J41" s="780"/>
      <c r="K41" s="779"/>
      <c r="L41" s="851"/>
      <c r="M41" s="1068" t="s">
        <v>14</v>
      </c>
      <c r="N41" s="1069"/>
      <c r="O41" s="913">
        <f t="shared" ref="O41:T41" si="18">((O39*O38)*7)/1000</f>
        <v>40.274500000000003</v>
      </c>
      <c r="P41" s="842">
        <f t="shared" si="18"/>
        <v>40.015500000000003</v>
      </c>
      <c r="Q41" s="842">
        <f t="shared" si="18"/>
        <v>4.4800000000000004</v>
      </c>
      <c r="R41" s="842">
        <f t="shared" si="18"/>
        <v>44.1</v>
      </c>
      <c r="S41" s="842">
        <f t="shared" si="18"/>
        <v>45.202500000000001</v>
      </c>
      <c r="T41" s="843">
        <f t="shared" si="18"/>
        <v>43.406999999999996</v>
      </c>
      <c r="U41" s="844"/>
    </row>
    <row r="42" spans="1:26" ht="15.75" thickBot="1" x14ac:dyDescent="0.3">
      <c r="A42" s="887" t="s">
        <v>15</v>
      </c>
      <c r="B42" s="846">
        <f t="shared" ref="B42:G42" si="19">+(B37/B39)/7*1000</f>
        <v>153.08571428571426</v>
      </c>
      <c r="C42" s="847">
        <f t="shared" si="19"/>
        <v>152.80140803754765</v>
      </c>
      <c r="D42" s="847">
        <f t="shared" si="19"/>
        <v>157.69230769230765</v>
      </c>
      <c r="E42" s="847">
        <f t="shared" si="19"/>
        <v>153.83995703544576</v>
      </c>
      <c r="F42" s="847">
        <f t="shared" si="19"/>
        <v>153.76287298653287</v>
      </c>
      <c r="G42" s="848">
        <f t="shared" si="19"/>
        <v>153.3246753246753</v>
      </c>
      <c r="H42" s="888"/>
      <c r="I42" s="779"/>
      <c r="J42" s="779"/>
      <c r="K42" s="883" t="s">
        <v>133</v>
      </c>
      <c r="L42" s="851"/>
      <c r="M42" s="1070" t="s">
        <v>15</v>
      </c>
      <c r="N42" s="1071"/>
      <c r="O42" s="916">
        <f t="shared" ref="O42:T42" si="20">+(O37/O39)/7*1000</f>
        <v>155.59845559845559</v>
      </c>
      <c r="P42" s="847">
        <f t="shared" si="20"/>
        <v>154.44015444015443</v>
      </c>
      <c r="Q42" s="847">
        <f t="shared" si="20"/>
        <v>160.71428571428572</v>
      </c>
      <c r="R42" s="847">
        <f t="shared" si="20"/>
        <v>161.07142857142856</v>
      </c>
      <c r="S42" s="847">
        <f t="shared" si="20"/>
        <v>157.49128919860627</v>
      </c>
      <c r="T42" s="848">
        <f t="shared" si="20"/>
        <v>158.97435897435901</v>
      </c>
      <c r="U42" s="889"/>
      <c r="V42" s="851"/>
    </row>
    <row r="43" spans="1:26" x14ac:dyDescent="0.25">
      <c r="A43" s="779"/>
      <c r="B43" s="850">
        <f t="shared" ref="B43:G43" si="21">B41-B37</f>
        <v>-0.92999999999994998</v>
      </c>
      <c r="C43" s="850">
        <f t="shared" si="21"/>
        <v>6.338000000005195E-2</v>
      </c>
      <c r="D43" s="850">
        <f t="shared" si="21"/>
        <v>-0.88675999999999888</v>
      </c>
      <c r="E43" s="850">
        <f t="shared" si="21"/>
        <v>-3.7983199999999897</v>
      </c>
      <c r="F43" s="850">
        <f t="shared" si="21"/>
        <v>-3.570660000000089</v>
      </c>
      <c r="G43" s="850">
        <f t="shared" si="21"/>
        <v>-1.9429999999999836</v>
      </c>
      <c r="H43" s="779"/>
      <c r="I43" s="779"/>
      <c r="J43" s="779"/>
      <c r="K43" s="780"/>
      <c r="L43" s="779"/>
      <c r="M43" s="779"/>
      <c r="N43" s="851"/>
      <c r="O43" s="850">
        <f t="shared" ref="O43:T43" si="22">O41-O37</f>
        <v>-2.5499999999993861E-2</v>
      </c>
      <c r="P43" s="850">
        <f t="shared" si="22"/>
        <v>1.5500000000002956E-2</v>
      </c>
      <c r="Q43" s="850">
        <f t="shared" si="22"/>
        <v>-1.9999999999999574E-2</v>
      </c>
      <c r="R43" s="850">
        <f t="shared" si="22"/>
        <v>-1</v>
      </c>
      <c r="S43" s="850">
        <f t="shared" si="22"/>
        <v>2.4999999999977263E-3</v>
      </c>
      <c r="T43" s="850">
        <f t="shared" si="22"/>
        <v>6.9999999999907914E-3</v>
      </c>
    </row>
    <row r="44" spans="1:26" x14ac:dyDescent="0.25">
      <c r="A44" s="779"/>
      <c r="B44" s="850"/>
      <c r="C44" s="850"/>
      <c r="D44" s="850"/>
      <c r="E44" s="850"/>
      <c r="F44" s="850"/>
      <c r="G44" s="850"/>
      <c r="H44" s="779"/>
      <c r="I44" s="779"/>
      <c r="J44" s="779"/>
      <c r="K44" s="780"/>
      <c r="L44" s="779"/>
      <c r="M44" s="779"/>
      <c r="N44" s="851"/>
      <c r="O44" s="850">
        <f>O42-O38</f>
        <v>9.8455598455586824E-2</v>
      </c>
      <c r="P44" s="850">
        <f t="shared" ref="P44:T44" si="23">P42-P38</f>
        <v>-5.9845559845570051E-2</v>
      </c>
      <c r="Q44" s="850">
        <f>Q42-Q38</f>
        <v>0.71428571428572241</v>
      </c>
      <c r="R44" s="850">
        <f t="shared" si="23"/>
        <v>3.5714285714285552</v>
      </c>
      <c r="S44" s="850">
        <f t="shared" si="23"/>
        <v>-8.7108013937324813E-3</v>
      </c>
      <c r="T44" s="850">
        <f t="shared" si="23"/>
        <v>-2.5641025640993576E-2</v>
      </c>
    </row>
    <row r="45" spans="1:26" x14ac:dyDescent="0.25">
      <c r="A45" s="779"/>
      <c r="B45" s="922">
        <f>(B43+B47)/$A$2</f>
        <v>-0.92999999999994998</v>
      </c>
      <c r="C45" s="922">
        <f t="shared" ref="C45:G45" si="24">(C43+C47)/$A$2</f>
        <v>6.338000000005195E-2</v>
      </c>
      <c r="D45" s="922">
        <f t="shared" si="24"/>
        <v>-0.88675999999999888</v>
      </c>
      <c r="E45" s="922">
        <f t="shared" si="24"/>
        <v>-3.7983199999999897</v>
      </c>
      <c r="F45" s="922">
        <f t="shared" si="24"/>
        <v>-3.570660000000089</v>
      </c>
      <c r="G45" s="922">
        <f t="shared" si="24"/>
        <v>-1.9429999999999836</v>
      </c>
      <c r="I45" s="779"/>
      <c r="J45" s="779"/>
      <c r="K45" s="779"/>
      <c r="L45" s="779"/>
      <c r="M45" s="851"/>
      <c r="N45" s="851"/>
      <c r="O45" s="922">
        <f t="shared" ref="O45:T45" si="25">(O43+O47)/$A$2</f>
        <v>-2.5499999999993861E-2</v>
      </c>
      <c r="P45" s="922">
        <f t="shared" si="25"/>
        <v>1.5500000000002956E-2</v>
      </c>
      <c r="Q45" s="922">
        <f t="shared" si="25"/>
        <v>-1.9999999999999574E-2</v>
      </c>
      <c r="R45" s="922">
        <f t="shared" si="25"/>
        <v>-1</v>
      </c>
      <c r="S45" s="922">
        <f t="shared" si="25"/>
        <v>2.4999999999977263E-3</v>
      </c>
      <c r="T45" s="922">
        <f t="shared" si="25"/>
        <v>6.9999999999907914E-3</v>
      </c>
      <c r="V45" s="779"/>
    </row>
    <row r="46" spans="1:26" x14ac:dyDescent="0.25">
      <c r="A46" s="779"/>
      <c r="B46" s="922">
        <f>B45 + SUMIF($A$30:$A$36, $A$3,B30:B36)</f>
        <v>75.470000000000056</v>
      </c>
      <c r="C46" s="922">
        <f t="shared" ref="C46:F46" si="26">C45 + SUMIF($A$30:$A$36, $A$3,C30:C36)</f>
        <v>74.563380000000052</v>
      </c>
      <c r="D46" s="922">
        <f t="shared" si="26"/>
        <v>2.8132400000000013</v>
      </c>
      <c r="E46" s="922">
        <f t="shared" si="26"/>
        <v>77.301680000000005</v>
      </c>
      <c r="F46" s="922">
        <f t="shared" si="26"/>
        <v>78.929339999999911</v>
      </c>
      <c r="G46" s="922">
        <f>G45 + SUMIF($A$30:$A$36, $A$3,G30:G36)</f>
        <v>82.057000000000016</v>
      </c>
      <c r="H46" s="779"/>
      <c r="I46" s="851"/>
      <c r="K46" s="779"/>
      <c r="L46" s="779"/>
      <c r="M46" s="779"/>
      <c r="N46" s="779"/>
      <c r="O46" s="922">
        <f ca="1">O45 + SUMIF($M$30:$N$36, $A$3,O30:O36)</f>
        <v>5.774500000000006</v>
      </c>
      <c r="P46" s="922">
        <f t="shared" ref="P46:T46" ca="1" si="27">P45 + SUMIF($M$30:$N$36, $A$3,P30:P36)</f>
        <v>5.8155000000000028</v>
      </c>
      <c r="Q46" s="922">
        <f t="shared" ca="1" si="27"/>
        <v>0.68000000000000038</v>
      </c>
      <c r="R46" s="922">
        <f t="shared" ca="1" si="27"/>
        <v>5.4</v>
      </c>
      <c r="S46" s="922">
        <f t="shared" ca="1" si="27"/>
        <v>6.5024999999999977</v>
      </c>
      <c r="T46" s="922">
        <f t="shared" ca="1" si="27"/>
        <v>6.206999999999991</v>
      </c>
      <c r="U46" s="779"/>
      <c r="V46" s="779"/>
      <c r="W46" s="779"/>
    </row>
    <row r="47" spans="1:26" ht="7.5" customHeight="1" x14ac:dyDescent="0.25">
      <c r="A47" s="779"/>
      <c r="B47" s="851"/>
      <c r="C47" s="851"/>
      <c r="D47" s="851"/>
      <c r="E47" s="851"/>
      <c r="F47" s="851"/>
      <c r="G47" s="851"/>
      <c r="H47" s="851"/>
      <c r="I47" s="851"/>
      <c r="K47" s="779"/>
      <c r="L47" s="779"/>
      <c r="M47" s="779"/>
      <c r="N47" s="779"/>
      <c r="O47" s="851"/>
      <c r="P47" s="851"/>
      <c r="Q47" s="851"/>
      <c r="R47" s="851"/>
      <c r="S47" s="851"/>
      <c r="T47" s="851"/>
      <c r="U47" s="851"/>
      <c r="V47" s="851"/>
      <c r="W47" s="779"/>
    </row>
    <row r="48" spans="1:26" ht="7.5" customHeight="1" thickBot="1" x14ac:dyDescent="0.3">
      <c r="A48" s="779"/>
      <c r="B48" s="851"/>
      <c r="C48" s="851"/>
      <c r="D48" s="851"/>
      <c r="E48" s="851"/>
      <c r="F48" s="851"/>
      <c r="G48" s="851"/>
      <c r="H48" s="851"/>
      <c r="I48" s="851"/>
      <c r="K48" s="779"/>
      <c r="L48" s="779"/>
      <c r="M48" s="779"/>
      <c r="N48" s="779"/>
      <c r="O48" s="851"/>
      <c r="P48" s="851"/>
      <c r="Q48" s="851"/>
      <c r="R48" s="851"/>
      <c r="S48" s="851"/>
      <c r="T48" s="851"/>
      <c r="U48" s="851"/>
      <c r="V48" s="851"/>
      <c r="W48" s="779"/>
    </row>
    <row r="49" spans="1:25" ht="15.75" thickBot="1" x14ac:dyDescent="0.3">
      <c r="A49" s="784" t="s">
        <v>19</v>
      </c>
      <c r="B49" s="1084" t="s">
        <v>113</v>
      </c>
      <c r="C49" s="1085"/>
      <c r="D49" s="1085"/>
      <c r="E49" s="1085"/>
      <c r="F49" s="1085"/>
      <c r="G49" s="1085"/>
      <c r="H49" s="1085"/>
      <c r="I49" s="1075" t="s">
        <v>63</v>
      </c>
      <c r="J49" s="1076"/>
      <c r="K49" s="1076"/>
      <c r="L49" s="1076"/>
      <c r="M49" s="1076"/>
      <c r="N49" s="1076"/>
      <c r="O49" s="1076"/>
      <c r="P49" s="1078" t="s">
        <v>8</v>
      </c>
      <c r="Q49" s="1079"/>
      <c r="R49" s="1079"/>
      <c r="S49" s="1079"/>
      <c r="T49" s="1079"/>
      <c r="U49" s="1079"/>
      <c r="V49" s="1080"/>
      <c r="W49" s="785"/>
    </row>
    <row r="50" spans="1:25" ht="15.75" thickBot="1" x14ac:dyDescent="0.3">
      <c r="A50" s="890" t="s">
        <v>34</v>
      </c>
      <c r="B50" s="788">
        <v>1</v>
      </c>
      <c r="C50" s="789">
        <v>2</v>
      </c>
      <c r="D50" s="789">
        <v>3</v>
      </c>
      <c r="E50" s="789">
        <v>4</v>
      </c>
      <c r="F50" s="891">
        <v>5</v>
      </c>
      <c r="G50" s="788">
        <v>6</v>
      </c>
      <c r="H50" s="891">
        <v>7</v>
      </c>
      <c r="I50" s="788">
        <v>8</v>
      </c>
      <c r="J50" s="789">
        <v>9</v>
      </c>
      <c r="K50" s="789">
        <v>10</v>
      </c>
      <c r="L50" s="789">
        <v>11</v>
      </c>
      <c r="M50" s="789">
        <v>12</v>
      </c>
      <c r="N50" s="789">
        <v>13</v>
      </c>
      <c r="O50" s="790">
        <v>14</v>
      </c>
      <c r="P50" s="788">
        <v>15</v>
      </c>
      <c r="Q50" s="789">
        <v>16</v>
      </c>
      <c r="R50" s="789">
        <v>17</v>
      </c>
      <c r="S50" s="789">
        <v>18</v>
      </c>
      <c r="T50" s="789">
        <v>19</v>
      </c>
      <c r="U50" s="789">
        <v>20</v>
      </c>
      <c r="V50" s="790">
        <v>21</v>
      </c>
      <c r="W50" s="797" t="s">
        <v>9</v>
      </c>
    </row>
    <row r="51" spans="1:25" ht="15.75" thickBot="1" x14ac:dyDescent="0.3">
      <c r="A51" s="892" t="s">
        <v>10</v>
      </c>
      <c r="B51" s="801">
        <v>1</v>
      </c>
      <c r="C51" s="802">
        <v>2</v>
      </c>
      <c r="D51" s="802">
        <v>3</v>
      </c>
      <c r="E51" s="802">
        <v>4</v>
      </c>
      <c r="F51" s="802">
        <v>5</v>
      </c>
      <c r="G51" s="802">
        <v>6</v>
      </c>
      <c r="H51" s="805">
        <v>7</v>
      </c>
      <c r="I51" s="801">
        <v>1</v>
      </c>
      <c r="J51" s="802">
        <v>2</v>
      </c>
      <c r="K51" s="802">
        <v>3</v>
      </c>
      <c r="L51" s="802">
        <v>4</v>
      </c>
      <c r="M51" s="802">
        <v>5</v>
      </c>
      <c r="N51" s="802">
        <v>6</v>
      </c>
      <c r="O51" s="803">
        <v>7</v>
      </c>
      <c r="P51" s="801">
        <v>1</v>
      </c>
      <c r="Q51" s="802">
        <v>2</v>
      </c>
      <c r="R51" s="802">
        <v>3</v>
      </c>
      <c r="S51" s="802">
        <v>4</v>
      </c>
      <c r="T51" s="802">
        <v>5</v>
      </c>
      <c r="U51" s="802">
        <v>6</v>
      </c>
      <c r="V51" s="803">
        <v>7</v>
      </c>
      <c r="W51" s="797">
        <v>130.6</v>
      </c>
    </row>
    <row r="52" spans="1:25" ht="12.75" customHeight="1" x14ac:dyDescent="0.25">
      <c r="A52" s="808" t="s">
        <v>51</v>
      </c>
      <c r="B52" s="893">
        <v>6.9</v>
      </c>
      <c r="C52" s="894">
        <v>6.4</v>
      </c>
      <c r="D52" s="894">
        <v>6.7</v>
      </c>
      <c r="E52" s="894">
        <v>1.4</v>
      </c>
      <c r="F52" s="894">
        <v>6.9</v>
      </c>
      <c r="G52" s="894">
        <v>7</v>
      </c>
      <c r="H52" s="895">
        <v>6.8</v>
      </c>
      <c r="I52" s="893">
        <v>7.1</v>
      </c>
      <c r="J52" s="894">
        <v>7.1</v>
      </c>
      <c r="K52" s="894">
        <v>7.2</v>
      </c>
      <c r="L52" s="894">
        <v>1.4</v>
      </c>
      <c r="M52" s="894">
        <v>7</v>
      </c>
      <c r="N52" s="894">
        <v>7.2</v>
      </c>
      <c r="O52" s="895">
        <v>6.8</v>
      </c>
      <c r="P52" s="893">
        <v>7.2</v>
      </c>
      <c r="Q52" s="894">
        <v>7.2</v>
      </c>
      <c r="R52" s="894">
        <v>7</v>
      </c>
      <c r="S52" s="894">
        <v>1.6</v>
      </c>
      <c r="T52" s="894">
        <v>7</v>
      </c>
      <c r="U52" s="894">
        <v>7.1</v>
      </c>
      <c r="V52" s="895">
        <v>6.7</v>
      </c>
      <c r="W52" s="952">
        <f t="shared" ref="W52:W58" si="28">SUM(B52:V52)</f>
        <v>129.69999999999999</v>
      </c>
      <c r="X52" s="815">
        <f>W52-W51</f>
        <v>-0.90000000000000568</v>
      </c>
      <c r="Y52" s="815"/>
    </row>
    <row r="53" spans="1:25" ht="12.75" customHeight="1" x14ac:dyDescent="0.25">
      <c r="A53" s="808" t="s">
        <v>24</v>
      </c>
      <c r="B53" s="897">
        <v>6.9</v>
      </c>
      <c r="C53" s="898">
        <v>6.4</v>
      </c>
      <c r="D53" s="898">
        <v>6.7</v>
      </c>
      <c r="E53" s="898">
        <v>1.4</v>
      </c>
      <c r="F53" s="898">
        <v>6.9</v>
      </c>
      <c r="G53" s="898">
        <v>7</v>
      </c>
      <c r="H53" s="899">
        <v>6.8</v>
      </c>
      <c r="I53" s="897">
        <v>7.1</v>
      </c>
      <c r="J53" s="898">
        <v>7.1</v>
      </c>
      <c r="K53" s="898">
        <v>7.2</v>
      </c>
      <c r="L53" s="898">
        <v>1.4</v>
      </c>
      <c r="M53" s="898">
        <v>7</v>
      </c>
      <c r="N53" s="898">
        <v>7.2</v>
      </c>
      <c r="O53" s="899">
        <v>6.8</v>
      </c>
      <c r="P53" s="897">
        <v>7.2</v>
      </c>
      <c r="Q53" s="898">
        <v>7.2</v>
      </c>
      <c r="R53" s="898">
        <v>7</v>
      </c>
      <c r="S53" s="898">
        <v>1.6</v>
      </c>
      <c r="T53" s="898">
        <v>7</v>
      </c>
      <c r="U53" s="898">
        <v>7.1</v>
      </c>
      <c r="V53" s="899">
        <v>6.7</v>
      </c>
      <c r="W53" s="952">
        <f t="shared" si="28"/>
        <v>129.69999999999999</v>
      </c>
      <c r="X53" s="815">
        <f>W53-W52</f>
        <v>0</v>
      </c>
      <c r="Y53" s="815"/>
    </row>
    <row r="54" spans="1:25" ht="12.75" customHeight="1" x14ac:dyDescent="0.25">
      <c r="A54" s="808" t="s">
        <v>20</v>
      </c>
      <c r="B54" s="897">
        <v>6.9</v>
      </c>
      <c r="C54" s="898">
        <v>6.4</v>
      </c>
      <c r="D54" s="898">
        <v>6.7</v>
      </c>
      <c r="E54" s="898">
        <v>1.4</v>
      </c>
      <c r="F54" s="898">
        <v>6.9</v>
      </c>
      <c r="G54" s="898">
        <v>7</v>
      </c>
      <c r="H54" s="899">
        <v>6.9</v>
      </c>
      <c r="I54" s="897">
        <v>7.1</v>
      </c>
      <c r="J54" s="898">
        <v>7.1</v>
      </c>
      <c r="K54" s="898">
        <v>7.3</v>
      </c>
      <c r="L54" s="898">
        <v>1.4</v>
      </c>
      <c r="M54" s="898">
        <v>7.1</v>
      </c>
      <c r="N54" s="898">
        <v>7.2</v>
      </c>
      <c r="O54" s="899">
        <v>6.9</v>
      </c>
      <c r="P54" s="897">
        <v>7.2</v>
      </c>
      <c r="Q54" s="898">
        <v>7.2</v>
      </c>
      <c r="R54" s="898">
        <v>7.1</v>
      </c>
      <c r="S54" s="898">
        <v>1.6</v>
      </c>
      <c r="T54" s="898">
        <v>7.1</v>
      </c>
      <c r="U54" s="898">
        <v>7.2</v>
      </c>
      <c r="V54" s="899">
        <v>6.7</v>
      </c>
      <c r="W54" s="952">
        <f t="shared" si="28"/>
        <v>130.39999999999998</v>
      </c>
      <c r="X54" s="815">
        <f t="shared" ref="X54:X58" si="29">W54-W53</f>
        <v>0.69999999999998863</v>
      </c>
      <c r="Y54" s="815"/>
    </row>
    <row r="55" spans="1:25" ht="12.75" customHeight="1" x14ac:dyDescent="0.25">
      <c r="A55" s="808" t="s">
        <v>28</v>
      </c>
      <c r="B55" s="897">
        <v>6.9</v>
      </c>
      <c r="C55" s="898">
        <v>6.5</v>
      </c>
      <c r="D55" s="898">
        <v>6.8</v>
      </c>
      <c r="E55" s="814">
        <v>1.4</v>
      </c>
      <c r="F55" s="898">
        <v>6.9</v>
      </c>
      <c r="G55" s="898">
        <v>7</v>
      </c>
      <c r="H55" s="899">
        <v>6.9</v>
      </c>
      <c r="I55" s="897">
        <v>7.1</v>
      </c>
      <c r="J55" s="898">
        <v>7.1</v>
      </c>
      <c r="K55" s="898">
        <v>7.3</v>
      </c>
      <c r="L55" s="898">
        <v>1.5</v>
      </c>
      <c r="M55" s="898">
        <v>7.1</v>
      </c>
      <c r="N55" s="898">
        <v>7.2</v>
      </c>
      <c r="O55" s="899">
        <v>6.9</v>
      </c>
      <c r="P55" s="897">
        <v>7.2</v>
      </c>
      <c r="Q55" s="898">
        <v>7.2</v>
      </c>
      <c r="R55" s="898">
        <v>7.1</v>
      </c>
      <c r="S55" s="898">
        <v>1.6</v>
      </c>
      <c r="T55" s="898">
        <v>7.1</v>
      </c>
      <c r="U55" s="898">
        <v>7.2</v>
      </c>
      <c r="V55" s="899">
        <v>6.7</v>
      </c>
      <c r="W55" s="952">
        <f t="shared" si="28"/>
        <v>130.69999999999999</v>
      </c>
      <c r="X55" s="815">
        <f t="shared" si="29"/>
        <v>0.30000000000001137</v>
      </c>
      <c r="Y55" s="815"/>
    </row>
    <row r="56" spans="1:25" ht="12.75" customHeight="1" x14ac:dyDescent="0.25">
      <c r="A56" s="808" t="s">
        <v>21</v>
      </c>
      <c r="B56" s="897">
        <v>7</v>
      </c>
      <c r="C56" s="898">
        <v>6.5</v>
      </c>
      <c r="D56" s="898">
        <v>6.8</v>
      </c>
      <c r="E56" s="898">
        <v>1.4</v>
      </c>
      <c r="F56" s="898">
        <v>6.9</v>
      </c>
      <c r="G56" s="898">
        <v>7.1</v>
      </c>
      <c r="H56" s="899">
        <v>6.9</v>
      </c>
      <c r="I56" s="897">
        <v>7.1</v>
      </c>
      <c r="J56" s="898">
        <v>7.1</v>
      </c>
      <c r="K56" s="898">
        <v>7.3</v>
      </c>
      <c r="L56" s="898">
        <v>1.5</v>
      </c>
      <c r="M56" s="898">
        <v>7.1</v>
      </c>
      <c r="N56" s="898">
        <v>7.2</v>
      </c>
      <c r="O56" s="899">
        <v>6.9</v>
      </c>
      <c r="P56" s="897">
        <v>7.2</v>
      </c>
      <c r="Q56" s="898">
        <v>7.2</v>
      </c>
      <c r="R56" s="898">
        <v>7.1</v>
      </c>
      <c r="S56" s="898">
        <v>1.6</v>
      </c>
      <c r="T56" s="898">
        <v>7.1</v>
      </c>
      <c r="U56" s="898">
        <v>7.2</v>
      </c>
      <c r="V56" s="899">
        <v>6.7</v>
      </c>
      <c r="W56" s="952">
        <f t="shared" si="28"/>
        <v>130.9</v>
      </c>
      <c r="X56" s="815">
        <f t="shared" si="29"/>
        <v>0.20000000000001705</v>
      </c>
      <c r="Y56" s="815"/>
    </row>
    <row r="57" spans="1:25" ht="12.75" customHeight="1" x14ac:dyDescent="0.25">
      <c r="A57" s="808" t="s">
        <v>22</v>
      </c>
      <c r="B57" s="897">
        <v>7</v>
      </c>
      <c r="C57" s="898">
        <v>6.5</v>
      </c>
      <c r="D57" s="898">
        <v>6.8</v>
      </c>
      <c r="E57" s="898">
        <v>1.4</v>
      </c>
      <c r="F57" s="898">
        <v>7</v>
      </c>
      <c r="G57" s="898">
        <v>7.1</v>
      </c>
      <c r="H57" s="899">
        <v>6.9</v>
      </c>
      <c r="I57" s="897">
        <v>7.2</v>
      </c>
      <c r="J57" s="898">
        <v>7.2</v>
      </c>
      <c r="K57" s="898">
        <v>7.3</v>
      </c>
      <c r="L57" s="898">
        <v>1.5</v>
      </c>
      <c r="M57" s="898">
        <v>7.1</v>
      </c>
      <c r="N57" s="898">
        <v>7.2</v>
      </c>
      <c r="O57" s="899">
        <v>6.9</v>
      </c>
      <c r="P57" s="897">
        <v>7.2</v>
      </c>
      <c r="Q57" s="898">
        <v>7.2</v>
      </c>
      <c r="R57" s="898">
        <v>7.1</v>
      </c>
      <c r="S57" s="814">
        <v>1.6</v>
      </c>
      <c r="T57" s="898">
        <v>7.1</v>
      </c>
      <c r="U57" s="898">
        <v>7.2</v>
      </c>
      <c r="V57" s="899">
        <v>6.7</v>
      </c>
      <c r="W57" s="952">
        <f t="shared" si="28"/>
        <v>131.19999999999999</v>
      </c>
      <c r="X57" s="815">
        <f t="shared" si="29"/>
        <v>0.29999999999998295</v>
      </c>
      <c r="Y57" s="815"/>
    </row>
    <row r="58" spans="1:25" ht="12.75" customHeight="1" thickBot="1" x14ac:dyDescent="0.3">
      <c r="A58" s="808" t="s">
        <v>23</v>
      </c>
      <c r="B58" s="897">
        <v>7</v>
      </c>
      <c r="C58" s="898">
        <v>6.5</v>
      </c>
      <c r="D58" s="898">
        <v>6.8</v>
      </c>
      <c r="E58" s="898">
        <v>1.4</v>
      </c>
      <c r="F58" s="898">
        <v>7</v>
      </c>
      <c r="G58" s="898">
        <v>7.1</v>
      </c>
      <c r="H58" s="899">
        <v>7</v>
      </c>
      <c r="I58" s="897">
        <v>7.2</v>
      </c>
      <c r="J58" s="898">
        <v>7.2</v>
      </c>
      <c r="K58" s="898">
        <v>7.3</v>
      </c>
      <c r="L58" s="898">
        <v>1.5</v>
      </c>
      <c r="M58" s="898">
        <v>7.2</v>
      </c>
      <c r="N58" s="898">
        <v>7.2</v>
      </c>
      <c r="O58" s="899">
        <v>7</v>
      </c>
      <c r="P58" s="897">
        <v>7.3</v>
      </c>
      <c r="Q58" s="898">
        <v>7.3</v>
      </c>
      <c r="R58" s="898">
        <v>7.2</v>
      </c>
      <c r="S58" s="898">
        <v>1.6</v>
      </c>
      <c r="T58" s="898">
        <v>7.2</v>
      </c>
      <c r="U58" s="898">
        <v>7.2</v>
      </c>
      <c r="V58" s="899">
        <v>6.7</v>
      </c>
      <c r="W58" s="952">
        <f t="shared" si="28"/>
        <v>131.9</v>
      </c>
      <c r="X58" s="815">
        <f t="shared" si="29"/>
        <v>0.70000000000001705</v>
      </c>
      <c r="Y58" s="815"/>
    </row>
    <row r="59" spans="1:25" x14ac:dyDescent="0.25">
      <c r="A59" s="800" t="s">
        <v>9</v>
      </c>
      <c r="B59" s="873">
        <f>SUM(B52:B58)</f>
        <v>48.6</v>
      </c>
      <c r="C59" s="874">
        <f>SUM(C52:C58)</f>
        <v>45.2</v>
      </c>
      <c r="D59" s="874">
        <f t="shared" ref="D59:V59" si="30">SUM(D52:D58)</f>
        <v>47.3</v>
      </c>
      <c r="E59" s="874">
        <f t="shared" si="30"/>
        <v>9.8000000000000007</v>
      </c>
      <c r="F59" s="874">
        <f t="shared" si="30"/>
        <v>48.5</v>
      </c>
      <c r="G59" s="874">
        <f t="shared" si="30"/>
        <v>49.300000000000004</v>
      </c>
      <c r="H59" s="900">
        <f t="shared" si="30"/>
        <v>48.199999999999996</v>
      </c>
      <c r="I59" s="901">
        <f t="shared" si="30"/>
        <v>49.900000000000006</v>
      </c>
      <c r="J59" s="874">
        <f t="shared" si="30"/>
        <v>49.900000000000006</v>
      </c>
      <c r="K59" s="874">
        <f t="shared" si="30"/>
        <v>50.899999999999991</v>
      </c>
      <c r="L59" s="874">
        <f t="shared" si="30"/>
        <v>10.199999999999999</v>
      </c>
      <c r="M59" s="874">
        <f t="shared" si="30"/>
        <v>49.600000000000009</v>
      </c>
      <c r="N59" s="874">
        <f t="shared" si="30"/>
        <v>50.400000000000006</v>
      </c>
      <c r="O59" s="902">
        <f t="shared" si="30"/>
        <v>48.199999999999996</v>
      </c>
      <c r="P59" s="824">
        <f t="shared" si="30"/>
        <v>50.5</v>
      </c>
      <c r="Q59" s="825">
        <f t="shared" si="30"/>
        <v>50.5</v>
      </c>
      <c r="R59" s="825">
        <f t="shared" si="30"/>
        <v>49.600000000000009</v>
      </c>
      <c r="S59" s="825">
        <f t="shared" si="30"/>
        <v>11.2</v>
      </c>
      <c r="T59" s="825">
        <f t="shared" si="30"/>
        <v>49.600000000000009</v>
      </c>
      <c r="U59" s="825">
        <f t="shared" si="30"/>
        <v>50.2</v>
      </c>
      <c r="V59" s="826">
        <f t="shared" si="30"/>
        <v>46.900000000000006</v>
      </c>
      <c r="W59" s="903">
        <f>SUM(W52:W58)</f>
        <v>914.49999999999989</v>
      </c>
    </row>
    <row r="60" spans="1:25" x14ac:dyDescent="0.25">
      <c r="A60" s="828" t="s">
        <v>11</v>
      </c>
      <c r="B60" s="875">
        <v>161.5</v>
      </c>
      <c r="C60" s="876">
        <v>161.5</v>
      </c>
      <c r="D60" s="876">
        <v>161</v>
      </c>
      <c r="E60" s="876">
        <v>161</v>
      </c>
      <c r="F60" s="876">
        <v>161</v>
      </c>
      <c r="G60" s="876">
        <v>160</v>
      </c>
      <c r="H60" s="904">
        <v>160</v>
      </c>
      <c r="I60" s="875">
        <v>162</v>
      </c>
      <c r="J60" s="876">
        <v>162</v>
      </c>
      <c r="K60" s="876">
        <v>161.5</v>
      </c>
      <c r="L60" s="876">
        <v>161.5</v>
      </c>
      <c r="M60" s="876">
        <v>161</v>
      </c>
      <c r="N60" s="876">
        <v>160</v>
      </c>
      <c r="O60" s="905">
        <v>160</v>
      </c>
      <c r="P60" s="875">
        <v>164</v>
      </c>
      <c r="Q60" s="876">
        <v>164</v>
      </c>
      <c r="R60" s="876">
        <v>161</v>
      </c>
      <c r="S60" s="876">
        <v>161</v>
      </c>
      <c r="T60" s="876">
        <v>161</v>
      </c>
      <c r="U60" s="876">
        <v>159.5</v>
      </c>
      <c r="V60" s="904">
        <v>159.5</v>
      </c>
      <c r="W60" s="906">
        <f>((W59/W61)/7)*1000</f>
        <v>161.48684442874799</v>
      </c>
    </row>
    <row r="61" spans="1:25" x14ac:dyDescent="0.25">
      <c r="A61" s="833" t="s">
        <v>12</v>
      </c>
      <c r="B61" s="834">
        <v>43</v>
      </c>
      <c r="C61" s="835">
        <v>40</v>
      </c>
      <c r="D61" s="835">
        <v>42</v>
      </c>
      <c r="E61" s="835">
        <v>8</v>
      </c>
      <c r="F61" s="835">
        <v>43</v>
      </c>
      <c r="G61" s="835">
        <v>44</v>
      </c>
      <c r="H61" s="836">
        <v>43</v>
      </c>
      <c r="I61" s="907">
        <v>44</v>
      </c>
      <c r="J61" s="835">
        <v>44</v>
      </c>
      <c r="K61" s="835">
        <v>45</v>
      </c>
      <c r="L61" s="835">
        <v>9</v>
      </c>
      <c r="M61" s="835">
        <v>44</v>
      </c>
      <c r="N61" s="835">
        <v>45</v>
      </c>
      <c r="O61" s="908">
        <v>43</v>
      </c>
      <c r="P61" s="834">
        <v>44</v>
      </c>
      <c r="Q61" s="835">
        <v>44</v>
      </c>
      <c r="R61" s="835">
        <v>44</v>
      </c>
      <c r="S61" s="835">
        <v>9</v>
      </c>
      <c r="T61" s="835">
        <v>44</v>
      </c>
      <c r="U61" s="835">
        <v>45</v>
      </c>
      <c r="V61" s="836">
        <v>42</v>
      </c>
      <c r="W61" s="909">
        <f>SUM(B61:V61)</f>
        <v>809</v>
      </c>
    </row>
    <row r="62" spans="1:25" x14ac:dyDescent="0.25">
      <c r="A62" s="838" t="s">
        <v>13</v>
      </c>
      <c r="B62" s="839">
        <f t="shared" ref="B62:V62" si="31">((((B60*7)*B61)/1000-B52-B53)/5)</f>
        <v>6.9623000000000008</v>
      </c>
      <c r="C62" s="839">
        <f t="shared" si="31"/>
        <v>6.484</v>
      </c>
      <c r="D62" s="839">
        <f t="shared" si="31"/>
        <v>6.7867999999999995</v>
      </c>
      <c r="E62" s="839">
        <f t="shared" si="31"/>
        <v>1.2431999999999999</v>
      </c>
      <c r="F62" s="839">
        <f t="shared" si="31"/>
        <v>6.9321999999999999</v>
      </c>
      <c r="G62" s="839">
        <f t="shared" si="31"/>
        <v>7.056</v>
      </c>
      <c r="H62" s="839">
        <f t="shared" si="31"/>
        <v>6.9120000000000008</v>
      </c>
      <c r="I62" s="839">
        <f t="shared" si="31"/>
        <v>7.1391999999999998</v>
      </c>
      <c r="J62" s="839">
        <f t="shared" si="31"/>
        <v>7.1391999999999998</v>
      </c>
      <c r="K62" s="839">
        <f t="shared" si="31"/>
        <v>7.2944999999999993</v>
      </c>
      <c r="L62" s="839">
        <f t="shared" si="31"/>
        <v>1.4748999999999999</v>
      </c>
      <c r="M62" s="839">
        <f t="shared" si="31"/>
        <v>7.1176000000000004</v>
      </c>
      <c r="N62" s="839">
        <f t="shared" si="31"/>
        <v>7.1999999999999984</v>
      </c>
      <c r="O62" s="910">
        <f t="shared" si="31"/>
        <v>6.9120000000000008</v>
      </c>
      <c r="P62" s="839">
        <f t="shared" si="31"/>
        <v>7.2223999999999986</v>
      </c>
      <c r="Q62" s="839">
        <f t="shared" si="31"/>
        <v>7.2223999999999986</v>
      </c>
      <c r="R62" s="839">
        <f t="shared" si="31"/>
        <v>7.1176000000000004</v>
      </c>
      <c r="S62" s="839">
        <f t="shared" si="31"/>
        <v>1.3886000000000003</v>
      </c>
      <c r="T62" s="839">
        <f t="shared" si="31"/>
        <v>7.1176000000000004</v>
      </c>
      <c r="U62" s="839">
        <f t="shared" si="31"/>
        <v>7.208499999999999</v>
      </c>
      <c r="V62" s="911">
        <f t="shared" si="31"/>
        <v>6.698599999999999</v>
      </c>
      <c r="W62" s="912">
        <f>((W59*1000)/7)/W61</f>
        <v>161.48684442874799</v>
      </c>
    </row>
    <row r="63" spans="1:25" x14ac:dyDescent="0.25">
      <c r="A63" s="841" t="s">
        <v>14</v>
      </c>
      <c r="B63" s="839">
        <f>((B61*B60)*7)/1000</f>
        <v>48.611499999999999</v>
      </c>
      <c r="C63" s="842">
        <f>((C61*C60)*7)/1000</f>
        <v>45.22</v>
      </c>
      <c r="D63" s="842">
        <f t="shared" ref="D63:V63" si="32">((D61*D60)*7)/1000</f>
        <v>47.334000000000003</v>
      </c>
      <c r="E63" s="842">
        <f t="shared" si="32"/>
        <v>9.016</v>
      </c>
      <c r="F63" s="842">
        <f t="shared" si="32"/>
        <v>48.460999999999999</v>
      </c>
      <c r="G63" s="842">
        <f t="shared" si="32"/>
        <v>49.28</v>
      </c>
      <c r="H63" s="843">
        <f t="shared" si="32"/>
        <v>48.16</v>
      </c>
      <c r="I63" s="913">
        <f t="shared" si="32"/>
        <v>49.896000000000001</v>
      </c>
      <c r="J63" s="842">
        <f t="shared" si="32"/>
        <v>49.896000000000001</v>
      </c>
      <c r="K63" s="842">
        <f t="shared" si="32"/>
        <v>50.872500000000002</v>
      </c>
      <c r="L63" s="842">
        <f t="shared" si="32"/>
        <v>10.1745</v>
      </c>
      <c r="M63" s="842">
        <f t="shared" si="32"/>
        <v>49.588000000000001</v>
      </c>
      <c r="N63" s="842">
        <f t="shared" si="32"/>
        <v>50.4</v>
      </c>
      <c r="O63" s="914">
        <f t="shared" si="32"/>
        <v>48.16</v>
      </c>
      <c r="P63" s="839">
        <f t="shared" si="32"/>
        <v>50.512</v>
      </c>
      <c r="Q63" s="842">
        <f t="shared" si="32"/>
        <v>50.512</v>
      </c>
      <c r="R63" s="842">
        <f t="shared" si="32"/>
        <v>49.588000000000001</v>
      </c>
      <c r="S63" s="842">
        <f t="shared" si="32"/>
        <v>10.143000000000001</v>
      </c>
      <c r="T63" s="842">
        <f t="shared" si="32"/>
        <v>49.588000000000001</v>
      </c>
      <c r="U63" s="842">
        <f t="shared" si="32"/>
        <v>50.2425</v>
      </c>
      <c r="V63" s="843">
        <f t="shared" si="32"/>
        <v>46.893000000000001</v>
      </c>
      <c r="W63" s="915"/>
    </row>
    <row r="64" spans="1:25" ht="15.75" thickBot="1" x14ac:dyDescent="0.3">
      <c r="A64" s="887" t="s">
        <v>15</v>
      </c>
      <c r="B64" s="846">
        <f>+(B59/B61)/7*1000</f>
        <v>161.46179401993356</v>
      </c>
      <c r="C64" s="847">
        <f t="shared" ref="C64:V64" si="33">+(C59/C61)/7*1000</f>
        <v>161.42857142857144</v>
      </c>
      <c r="D64" s="847">
        <f t="shared" si="33"/>
        <v>160.8843537414966</v>
      </c>
      <c r="E64" s="847">
        <f>+(E59/E61)/7*1000</f>
        <v>175.00000000000003</v>
      </c>
      <c r="F64" s="847">
        <f t="shared" si="33"/>
        <v>161.12956810631229</v>
      </c>
      <c r="G64" s="847">
        <f t="shared" si="33"/>
        <v>160.06493506493507</v>
      </c>
      <c r="H64" s="848">
        <f t="shared" si="33"/>
        <v>160.13289036544847</v>
      </c>
      <c r="I64" s="916">
        <f t="shared" si="33"/>
        <v>162.01298701298703</v>
      </c>
      <c r="J64" s="847">
        <f t="shared" si="33"/>
        <v>162.01298701298703</v>
      </c>
      <c r="K64" s="847">
        <f t="shared" si="33"/>
        <v>161.58730158730157</v>
      </c>
      <c r="L64" s="847">
        <f t="shared" si="33"/>
        <v>161.90476190476193</v>
      </c>
      <c r="M64" s="847">
        <f t="shared" si="33"/>
        <v>161.03896103896108</v>
      </c>
      <c r="N64" s="847">
        <f t="shared" si="33"/>
        <v>160</v>
      </c>
      <c r="O64" s="917">
        <f t="shared" si="33"/>
        <v>160.13289036544847</v>
      </c>
      <c r="P64" s="846">
        <f t="shared" si="33"/>
        <v>163.96103896103895</v>
      </c>
      <c r="Q64" s="847">
        <f t="shared" si="33"/>
        <v>163.96103896103895</v>
      </c>
      <c r="R64" s="847">
        <f t="shared" si="33"/>
        <v>161.03896103896108</v>
      </c>
      <c r="S64" s="847">
        <f t="shared" si="33"/>
        <v>177.77777777777777</v>
      </c>
      <c r="T64" s="847">
        <f t="shared" si="33"/>
        <v>161.03896103896108</v>
      </c>
      <c r="U64" s="847">
        <f t="shared" si="33"/>
        <v>159.36507936507937</v>
      </c>
      <c r="V64" s="848">
        <f t="shared" si="33"/>
        <v>159.52380952380955</v>
      </c>
      <c r="W64" s="918"/>
    </row>
    <row r="65" spans="1:24" x14ac:dyDescent="0.25">
      <c r="A65" s="779"/>
      <c r="B65" s="850">
        <f t="shared" ref="B65:V65" si="34">B63-B59</f>
        <v>1.1499999999998067E-2</v>
      </c>
      <c r="C65" s="850">
        <f t="shared" si="34"/>
        <v>1.9999999999996021E-2</v>
      </c>
      <c r="D65" s="850">
        <f t="shared" si="34"/>
        <v>3.4000000000006025E-2</v>
      </c>
      <c r="E65" s="850">
        <f t="shared" si="34"/>
        <v>-0.7840000000000007</v>
      </c>
      <c r="F65" s="850">
        <f t="shared" si="34"/>
        <v>-3.9000000000001478E-2</v>
      </c>
      <c r="G65" s="850">
        <f t="shared" si="34"/>
        <v>-2.0000000000003126E-2</v>
      </c>
      <c r="H65" s="850">
        <f t="shared" si="34"/>
        <v>-3.9999999999999147E-2</v>
      </c>
      <c r="I65" s="850">
        <f t="shared" si="34"/>
        <v>-4.0000000000048885E-3</v>
      </c>
      <c r="J65" s="850">
        <f t="shared" si="34"/>
        <v>-4.0000000000048885E-3</v>
      </c>
      <c r="K65" s="850">
        <f t="shared" si="34"/>
        <v>-2.74999999999892E-2</v>
      </c>
      <c r="L65" s="850">
        <f t="shared" si="34"/>
        <v>-2.549999999999919E-2</v>
      </c>
      <c r="M65" s="850">
        <f t="shared" si="34"/>
        <v>-1.200000000000756E-2</v>
      </c>
      <c r="N65" s="850">
        <f t="shared" si="34"/>
        <v>0</v>
      </c>
      <c r="O65" s="850">
        <f t="shared" si="34"/>
        <v>-3.9999999999999147E-2</v>
      </c>
      <c r="P65" s="850">
        <f t="shared" si="34"/>
        <v>1.2000000000000455E-2</v>
      </c>
      <c r="Q65" s="850">
        <f t="shared" si="34"/>
        <v>1.2000000000000455E-2</v>
      </c>
      <c r="R65" s="850">
        <f t="shared" si="34"/>
        <v>-1.200000000000756E-2</v>
      </c>
      <c r="S65" s="850">
        <f t="shared" si="34"/>
        <v>-1.0569999999999986</v>
      </c>
      <c r="T65" s="850">
        <f t="shared" si="34"/>
        <v>-1.200000000000756E-2</v>
      </c>
      <c r="U65" s="850">
        <f t="shared" si="34"/>
        <v>4.2499999999996874E-2</v>
      </c>
      <c r="V65" s="850">
        <f t="shared" si="34"/>
        <v>-7.0000000000050022E-3</v>
      </c>
    </row>
    <row r="66" spans="1:24" x14ac:dyDescent="0.25">
      <c r="A66" s="779"/>
      <c r="B66" s="922">
        <f t="shared" ref="B66" si="35">(B65+B68)/$A$2</f>
        <v>1.1499999999998067E-2</v>
      </c>
      <c r="C66" s="922">
        <f t="shared" ref="C66" si="36">(C65+C68)/$A$2</f>
        <v>1.9999999999996021E-2</v>
      </c>
      <c r="D66" s="922">
        <f t="shared" ref="D66" si="37">(D65+D68)/$A$2</f>
        <v>3.4000000000006025E-2</v>
      </c>
      <c r="E66" s="922">
        <f t="shared" ref="E66" si="38">(E65+E68)/$A$2</f>
        <v>-0.7840000000000007</v>
      </c>
      <c r="F66" s="922">
        <f t="shared" ref="F66" si="39">(F65+F68)/$A$2</f>
        <v>-3.9000000000001478E-2</v>
      </c>
      <c r="G66" s="922">
        <f t="shared" ref="G66" si="40">(G65+G68)/$A$2</f>
        <v>-2.0000000000003126E-2</v>
      </c>
      <c r="H66" s="922">
        <f t="shared" ref="H66" si="41">(H65+H68)/$A$2</f>
        <v>-3.9999999999999147E-2</v>
      </c>
      <c r="I66" s="922">
        <f t="shared" ref="I66" si="42">(I65+I68)/$A$2</f>
        <v>-4.0000000000048885E-3</v>
      </c>
      <c r="J66" s="922">
        <f t="shared" ref="J66" si="43">(J65+J68)/$A$2</f>
        <v>-4.0000000000048885E-3</v>
      </c>
      <c r="K66" s="922">
        <f t="shared" ref="K66" si="44">(K65+K68)/$A$2</f>
        <v>-2.74999999999892E-2</v>
      </c>
      <c r="L66" s="922">
        <f t="shared" ref="L66" si="45">(L65+L68)/$A$2</f>
        <v>-2.549999999999919E-2</v>
      </c>
      <c r="M66" s="922">
        <f t="shared" ref="M66" si="46">(M65+M68)/$A$2</f>
        <v>-1.200000000000756E-2</v>
      </c>
      <c r="N66" s="922">
        <f t="shared" ref="N66" si="47">(N65+N68)/$A$2</f>
        <v>0</v>
      </c>
      <c r="O66" s="922">
        <f t="shared" ref="O66" si="48">(O65+O68)/$A$2</f>
        <v>-3.9999999999999147E-2</v>
      </c>
      <c r="P66" s="922">
        <f t="shared" ref="P66" si="49">(P65+P68)/$A$2</f>
        <v>1.2000000000000455E-2</v>
      </c>
      <c r="Q66" s="922">
        <f t="shared" ref="Q66" si="50">(Q65+Q68)/$A$2</f>
        <v>1.2000000000000455E-2</v>
      </c>
      <c r="R66" s="922">
        <f t="shared" ref="R66" si="51">(R65+R68)/$A$2</f>
        <v>-1.200000000000756E-2</v>
      </c>
      <c r="S66" s="922">
        <f t="shared" ref="S66" si="52">(S65+S68)/$A$2</f>
        <v>-1.0569999999999986</v>
      </c>
      <c r="T66" s="922">
        <f t="shared" ref="T66" si="53">(T65+T68)/$A$2</f>
        <v>-1.200000000000756E-2</v>
      </c>
      <c r="U66" s="922">
        <f t="shared" ref="U66" si="54">(U65+U68)/$A$2</f>
        <v>4.2499999999996874E-2</v>
      </c>
      <c r="V66" s="922">
        <f t="shared" ref="V66" si="55">(V65+V68)/$A$2</f>
        <v>-7.0000000000050022E-3</v>
      </c>
    </row>
    <row r="67" spans="1:24" x14ac:dyDescent="0.25">
      <c r="B67" s="922">
        <f>B66 + SUMIF($A$52:$A$58, $A$3,B52:B58)</f>
        <v>7.0114999999999981</v>
      </c>
      <c r="C67" s="922">
        <f t="shared" ref="C67:V67" si="56">C66 + SUMIF($A$52:$A$58, $A$3,C52:C58)</f>
        <v>6.519999999999996</v>
      </c>
      <c r="D67" s="922">
        <f t="shared" si="56"/>
        <v>6.8340000000000058</v>
      </c>
      <c r="E67" s="922">
        <f t="shared" si="56"/>
        <v>0.61599999999999921</v>
      </c>
      <c r="F67" s="922">
        <f t="shared" si="56"/>
        <v>6.9609999999999985</v>
      </c>
      <c r="G67" s="922">
        <f t="shared" si="56"/>
        <v>7.0799999999999965</v>
      </c>
      <c r="H67" s="922">
        <f t="shared" si="56"/>
        <v>6.9600000000000009</v>
      </c>
      <c r="I67" s="922">
        <f t="shared" si="56"/>
        <v>7.1959999999999953</v>
      </c>
      <c r="J67" s="922">
        <f t="shared" si="56"/>
        <v>7.1959999999999953</v>
      </c>
      <c r="K67" s="922">
        <f t="shared" si="56"/>
        <v>7.2725000000000106</v>
      </c>
      <c r="L67" s="922">
        <f t="shared" si="56"/>
        <v>1.4745000000000008</v>
      </c>
      <c r="M67" s="922">
        <f t="shared" si="56"/>
        <v>7.1879999999999926</v>
      </c>
      <c r="N67" s="922">
        <f t="shared" si="56"/>
        <v>7.2</v>
      </c>
      <c r="O67" s="922">
        <f t="shared" si="56"/>
        <v>6.9600000000000009</v>
      </c>
      <c r="P67" s="922">
        <f t="shared" si="56"/>
        <v>7.3120000000000003</v>
      </c>
      <c r="Q67" s="922">
        <f t="shared" si="56"/>
        <v>7.3120000000000003</v>
      </c>
      <c r="R67" s="922">
        <f t="shared" si="56"/>
        <v>7.1879999999999926</v>
      </c>
      <c r="S67" s="922">
        <f t="shared" si="56"/>
        <v>0.54300000000000148</v>
      </c>
      <c r="T67" s="922">
        <f t="shared" si="56"/>
        <v>7.1879999999999926</v>
      </c>
      <c r="U67" s="922">
        <f t="shared" si="56"/>
        <v>7.2424999999999971</v>
      </c>
      <c r="V67" s="922">
        <f t="shared" si="56"/>
        <v>6.6929999999999952</v>
      </c>
    </row>
    <row r="68" spans="1:24" x14ac:dyDescent="0.25">
      <c r="A68" s="779"/>
    </row>
    <row r="69" spans="1:24" x14ac:dyDescent="0.25">
      <c r="A69" s="779"/>
      <c r="B69" s="861"/>
      <c r="C69" s="861"/>
      <c r="D69" s="861"/>
      <c r="E69" s="861"/>
      <c r="F69" s="861"/>
      <c r="G69" s="861"/>
      <c r="H69" s="861"/>
      <c r="I69" s="861"/>
      <c r="J69" s="861"/>
      <c r="K69" s="861"/>
      <c r="L69" s="861"/>
      <c r="M69" s="861"/>
      <c r="N69" s="861"/>
      <c r="O69" s="861"/>
      <c r="P69" s="861"/>
      <c r="Q69" s="861"/>
      <c r="R69" s="861"/>
      <c r="S69" s="861"/>
      <c r="T69" s="861"/>
      <c r="U69" s="861"/>
      <c r="V69" s="861"/>
      <c r="W69" s="861"/>
      <c r="X69" s="861"/>
    </row>
  </sheetData>
  <mergeCells count="28">
    <mergeCell ref="B27:G27"/>
    <mergeCell ref="O27:T27"/>
    <mergeCell ref="B49:H49"/>
    <mergeCell ref="I49:O49"/>
    <mergeCell ref="P49:V49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P2:R2"/>
    <mergeCell ref="U2:V2"/>
    <mergeCell ref="B5:H5"/>
    <mergeCell ref="I5:O5"/>
    <mergeCell ref="P5:V5"/>
    <mergeCell ref="T3:U3"/>
    <mergeCell ref="V3:W3"/>
    <mergeCell ref="M38:N38"/>
    <mergeCell ref="M39:N39"/>
    <mergeCell ref="M40:N40"/>
    <mergeCell ref="M41:N41"/>
    <mergeCell ref="M42:N42"/>
  </mergeCells>
  <dataValidations count="1">
    <dataValidation type="list" allowBlank="1" showInputMessage="1" showErrorMessage="1" sqref="A3" xr:uid="{00000000-0002-0000-4F00-000000000000}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Z69"/>
  <sheetViews>
    <sheetView topLeftCell="A43" zoomScale="85" zoomScaleNormal="85" workbookViewId="0">
      <pane xSplit="1" topLeftCell="B1" activePane="topRight" state="frozen"/>
      <selection pane="topRight" activeCell="B21" sqref="B21:V21"/>
    </sheetView>
  </sheetViews>
  <sheetFormatPr baseColWidth="10" defaultRowHeight="15" x14ac:dyDescent="0.25"/>
  <cols>
    <col min="1" max="1" width="17.5703125" style="798" bestFit="1" customWidth="1"/>
    <col min="2" max="7" width="7.85546875" style="798" bestFit="1" customWidth="1"/>
    <col min="8" max="8" width="8.140625" style="798" bestFit="1" customWidth="1"/>
    <col min="9" max="9" width="7.28515625" style="798" bestFit="1" customWidth="1"/>
    <col min="10" max="11" width="6.85546875" style="798" bestFit="1" customWidth="1"/>
    <col min="12" max="12" width="7.85546875" style="798" customWidth="1"/>
    <col min="13" max="13" width="6.85546875" style="798" bestFit="1" customWidth="1"/>
    <col min="14" max="14" width="8.5703125" style="798" customWidth="1"/>
    <col min="15" max="19" width="6.85546875" style="798" bestFit="1" customWidth="1"/>
    <col min="20" max="20" width="7.42578125" style="798" customWidth="1"/>
    <col min="21" max="21" width="7.85546875" style="798" customWidth="1"/>
    <col min="22" max="22" width="9.140625" style="798" customWidth="1"/>
    <col min="23" max="23" width="9.5703125" style="798" bestFit="1" customWidth="1"/>
    <col min="24" max="24" width="8.28515625" style="798" bestFit="1" customWidth="1"/>
    <col min="25" max="25" width="10.5703125" style="798" bestFit="1" customWidth="1"/>
    <col min="26" max="26" width="24.7109375" style="798" customWidth="1"/>
    <col min="27" max="27" width="21.28515625" style="798" bestFit="1" customWidth="1"/>
    <col min="28" max="252" width="11.42578125" style="798"/>
    <col min="253" max="253" width="34.42578125" style="798" customWidth="1"/>
    <col min="254" max="255" width="19.42578125" style="798" bestFit="1" customWidth="1"/>
    <col min="256" max="256" width="19.7109375" style="798" customWidth="1"/>
    <col min="257" max="258" width="20.42578125" style="798" customWidth="1"/>
    <col min="259" max="260" width="19.7109375" style="798" customWidth="1"/>
    <col min="261" max="261" width="25.28515625" style="798" customWidth="1"/>
    <col min="262" max="262" width="26" style="798" customWidth="1"/>
    <col min="263" max="263" width="22.28515625" style="798" customWidth="1"/>
    <col min="264" max="264" width="24.85546875" style="798" customWidth="1"/>
    <col min="265" max="265" width="21.140625" style="798" customWidth="1"/>
    <col min="266" max="266" width="21.42578125" style="798" customWidth="1"/>
    <col min="267" max="267" width="27.85546875" style="798" customWidth="1"/>
    <col min="268" max="268" width="23.42578125" style="798" customWidth="1"/>
    <col min="269" max="269" width="21.42578125" style="798" customWidth="1"/>
    <col min="270" max="272" width="20.7109375" style="798" customWidth="1"/>
    <col min="273" max="273" width="32.28515625" style="798" bestFit="1" customWidth="1"/>
    <col min="274" max="274" width="20.7109375" style="798" customWidth="1"/>
    <col min="275" max="275" width="22" style="798" customWidth="1"/>
    <col min="276" max="279" width="21.28515625" style="798" customWidth="1"/>
    <col min="280" max="280" width="22.28515625" style="798" customWidth="1"/>
    <col min="281" max="282" width="11.42578125" style="798"/>
    <col min="283" max="283" width="14.85546875" style="798" bestFit="1" customWidth="1"/>
    <col min="284" max="508" width="11.42578125" style="798"/>
    <col min="509" max="509" width="34.42578125" style="798" customWidth="1"/>
    <col min="510" max="511" width="19.42578125" style="798" bestFit="1" customWidth="1"/>
    <col min="512" max="512" width="19.7109375" style="798" customWidth="1"/>
    <col min="513" max="514" width="20.42578125" style="798" customWidth="1"/>
    <col min="515" max="516" width="19.7109375" style="798" customWidth="1"/>
    <col min="517" max="517" width="25.28515625" style="798" customWidth="1"/>
    <col min="518" max="518" width="26" style="798" customWidth="1"/>
    <col min="519" max="519" width="22.28515625" style="798" customWidth="1"/>
    <col min="520" max="520" width="24.85546875" style="798" customWidth="1"/>
    <col min="521" max="521" width="21.140625" style="798" customWidth="1"/>
    <col min="522" max="522" width="21.42578125" style="798" customWidth="1"/>
    <col min="523" max="523" width="27.85546875" style="798" customWidth="1"/>
    <col min="524" max="524" width="23.42578125" style="798" customWidth="1"/>
    <col min="525" max="525" width="21.42578125" style="798" customWidth="1"/>
    <col min="526" max="528" width="20.7109375" style="798" customWidth="1"/>
    <col min="529" max="529" width="32.28515625" style="798" bestFit="1" customWidth="1"/>
    <col min="530" max="530" width="20.7109375" style="798" customWidth="1"/>
    <col min="531" max="531" width="22" style="798" customWidth="1"/>
    <col min="532" max="535" width="21.28515625" style="798" customWidth="1"/>
    <col min="536" max="536" width="22.28515625" style="798" customWidth="1"/>
    <col min="537" max="538" width="11.42578125" style="798"/>
    <col min="539" max="539" width="14.85546875" style="798" bestFit="1" customWidth="1"/>
    <col min="540" max="764" width="11.42578125" style="798"/>
    <col min="765" max="765" width="34.42578125" style="798" customWidth="1"/>
    <col min="766" max="767" width="19.42578125" style="798" bestFit="1" customWidth="1"/>
    <col min="768" max="768" width="19.7109375" style="798" customWidth="1"/>
    <col min="769" max="770" width="20.42578125" style="798" customWidth="1"/>
    <col min="771" max="772" width="19.7109375" style="798" customWidth="1"/>
    <col min="773" max="773" width="25.28515625" style="798" customWidth="1"/>
    <col min="774" max="774" width="26" style="798" customWidth="1"/>
    <col min="775" max="775" width="22.28515625" style="798" customWidth="1"/>
    <col min="776" max="776" width="24.85546875" style="798" customWidth="1"/>
    <col min="777" max="777" width="21.140625" style="798" customWidth="1"/>
    <col min="778" max="778" width="21.42578125" style="798" customWidth="1"/>
    <col min="779" max="779" width="27.85546875" style="798" customWidth="1"/>
    <col min="780" max="780" width="23.42578125" style="798" customWidth="1"/>
    <col min="781" max="781" width="21.42578125" style="798" customWidth="1"/>
    <col min="782" max="784" width="20.7109375" style="798" customWidth="1"/>
    <col min="785" max="785" width="32.28515625" style="798" bestFit="1" customWidth="1"/>
    <col min="786" max="786" width="20.7109375" style="798" customWidth="1"/>
    <col min="787" max="787" width="22" style="798" customWidth="1"/>
    <col min="788" max="791" width="21.28515625" style="798" customWidth="1"/>
    <col min="792" max="792" width="22.28515625" style="798" customWidth="1"/>
    <col min="793" max="794" width="11.42578125" style="798"/>
    <col min="795" max="795" width="14.85546875" style="798" bestFit="1" customWidth="1"/>
    <col min="796" max="1020" width="11.42578125" style="798"/>
    <col min="1021" max="1021" width="34.42578125" style="798" customWidth="1"/>
    <col min="1022" max="1023" width="19.42578125" style="798" bestFit="1" customWidth="1"/>
    <col min="1024" max="1024" width="19.7109375" style="798" customWidth="1"/>
    <col min="1025" max="1026" width="20.42578125" style="798" customWidth="1"/>
    <col min="1027" max="1028" width="19.7109375" style="798" customWidth="1"/>
    <col min="1029" max="1029" width="25.28515625" style="798" customWidth="1"/>
    <col min="1030" max="1030" width="26" style="798" customWidth="1"/>
    <col min="1031" max="1031" width="22.28515625" style="798" customWidth="1"/>
    <col min="1032" max="1032" width="24.85546875" style="798" customWidth="1"/>
    <col min="1033" max="1033" width="21.140625" style="798" customWidth="1"/>
    <col min="1034" max="1034" width="21.42578125" style="798" customWidth="1"/>
    <col min="1035" max="1035" width="27.85546875" style="798" customWidth="1"/>
    <col min="1036" max="1036" width="23.42578125" style="798" customWidth="1"/>
    <col min="1037" max="1037" width="21.42578125" style="798" customWidth="1"/>
    <col min="1038" max="1040" width="20.7109375" style="798" customWidth="1"/>
    <col min="1041" max="1041" width="32.28515625" style="798" bestFit="1" customWidth="1"/>
    <col min="1042" max="1042" width="20.7109375" style="798" customWidth="1"/>
    <col min="1043" max="1043" width="22" style="798" customWidth="1"/>
    <col min="1044" max="1047" width="21.28515625" style="798" customWidth="1"/>
    <col min="1048" max="1048" width="22.28515625" style="798" customWidth="1"/>
    <col min="1049" max="1050" width="11.42578125" style="798"/>
    <col min="1051" max="1051" width="14.85546875" style="798" bestFit="1" customWidth="1"/>
    <col min="1052" max="1276" width="11.42578125" style="798"/>
    <col min="1277" max="1277" width="34.42578125" style="798" customWidth="1"/>
    <col min="1278" max="1279" width="19.42578125" style="798" bestFit="1" customWidth="1"/>
    <col min="1280" max="1280" width="19.7109375" style="798" customWidth="1"/>
    <col min="1281" max="1282" width="20.42578125" style="798" customWidth="1"/>
    <col min="1283" max="1284" width="19.7109375" style="798" customWidth="1"/>
    <col min="1285" max="1285" width="25.28515625" style="798" customWidth="1"/>
    <col min="1286" max="1286" width="26" style="798" customWidth="1"/>
    <col min="1287" max="1287" width="22.28515625" style="798" customWidth="1"/>
    <col min="1288" max="1288" width="24.85546875" style="798" customWidth="1"/>
    <col min="1289" max="1289" width="21.140625" style="798" customWidth="1"/>
    <col min="1290" max="1290" width="21.42578125" style="798" customWidth="1"/>
    <col min="1291" max="1291" width="27.85546875" style="798" customWidth="1"/>
    <col min="1292" max="1292" width="23.42578125" style="798" customWidth="1"/>
    <col min="1293" max="1293" width="21.42578125" style="798" customWidth="1"/>
    <col min="1294" max="1296" width="20.7109375" style="798" customWidth="1"/>
    <col min="1297" max="1297" width="32.28515625" style="798" bestFit="1" customWidth="1"/>
    <col min="1298" max="1298" width="20.7109375" style="798" customWidth="1"/>
    <col min="1299" max="1299" width="22" style="798" customWidth="1"/>
    <col min="1300" max="1303" width="21.28515625" style="798" customWidth="1"/>
    <col min="1304" max="1304" width="22.28515625" style="798" customWidth="1"/>
    <col min="1305" max="1306" width="11.42578125" style="798"/>
    <col min="1307" max="1307" width="14.85546875" style="798" bestFit="1" customWidth="1"/>
    <col min="1308" max="1532" width="11.42578125" style="798"/>
    <col min="1533" max="1533" width="34.42578125" style="798" customWidth="1"/>
    <col min="1534" max="1535" width="19.42578125" style="798" bestFit="1" customWidth="1"/>
    <col min="1536" max="1536" width="19.7109375" style="798" customWidth="1"/>
    <col min="1537" max="1538" width="20.42578125" style="798" customWidth="1"/>
    <col min="1539" max="1540" width="19.7109375" style="798" customWidth="1"/>
    <col min="1541" max="1541" width="25.28515625" style="798" customWidth="1"/>
    <col min="1542" max="1542" width="26" style="798" customWidth="1"/>
    <col min="1543" max="1543" width="22.28515625" style="798" customWidth="1"/>
    <col min="1544" max="1544" width="24.85546875" style="798" customWidth="1"/>
    <col min="1545" max="1545" width="21.140625" style="798" customWidth="1"/>
    <col min="1546" max="1546" width="21.42578125" style="798" customWidth="1"/>
    <col min="1547" max="1547" width="27.85546875" style="798" customWidth="1"/>
    <col min="1548" max="1548" width="23.42578125" style="798" customWidth="1"/>
    <col min="1549" max="1549" width="21.42578125" style="798" customWidth="1"/>
    <col min="1550" max="1552" width="20.7109375" style="798" customWidth="1"/>
    <col min="1553" max="1553" width="32.28515625" style="798" bestFit="1" customWidth="1"/>
    <col min="1554" max="1554" width="20.7109375" style="798" customWidth="1"/>
    <col min="1555" max="1555" width="22" style="798" customWidth="1"/>
    <col min="1556" max="1559" width="21.28515625" style="798" customWidth="1"/>
    <col min="1560" max="1560" width="22.28515625" style="798" customWidth="1"/>
    <col min="1561" max="1562" width="11.42578125" style="798"/>
    <col min="1563" max="1563" width="14.85546875" style="798" bestFit="1" customWidth="1"/>
    <col min="1564" max="1788" width="11.42578125" style="798"/>
    <col min="1789" max="1789" width="34.42578125" style="798" customWidth="1"/>
    <col min="1790" max="1791" width="19.42578125" style="798" bestFit="1" customWidth="1"/>
    <col min="1792" max="1792" width="19.7109375" style="798" customWidth="1"/>
    <col min="1793" max="1794" width="20.42578125" style="798" customWidth="1"/>
    <col min="1795" max="1796" width="19.7109375" style="798" customWidth="1"/>
    <col min="1797" max="1797" width="25.28515625" style="798" customWidth="1"/>
    <col min="1798" max="1798" width="26" style="798" customWidth="1"/>
    <col min="1799" max="1799" width="22.28515625" style="798" customWidth="1"/>
    <col min="1800" max="1800" width="24.85546875" style="798" customWidth="1"/>
    <col min="1801" max="1801" width="21.140625" style="798" customWidth="1"/>
    <col min="1802" max="1802" width="21.42578125" style="798" customWidth="1"/>
    <col min="1803" max="1803" width="27.85546875" style="798" customWidth="1"/>
    <col min="1804" max="1804" width="23.42578125" style="798" customWidth="1"/>
    <col min="1805" max="1805" width="21.42578125" style="798" customWidth="1"/>
    <col min="1806" max="1808" width="20.7109375" style="798" customWidth="1"/>
    <col min="1809" max="1809" width="32.28515625" style="798" bestFit="1" customWidth="1"/>
    <col min="1810" max="1810" width="20.7109375" style="798" customWidth="1"/>
    <col min="1811" max="1811" width="22" style="798" customWidth="1"/>
    <col min="1812" max="1815" width="21.28515625" style="798" customWidth="1"/>
    <col min="1816" max="1816" width="22.28515625" style="798" customWidth="1"/>
    <col min="1817" max="1818" width="11.42578125" style="798"/>
    <col min="1819" max="1819" width="14.85546875" style="798" bestFit="1" customWidth="1"/>
    <col min="1820" max="2044" width="11.42578125" style="798"/>
    <col min="2045" max="2045" width="34.42578125" style="798" customWidth="1"/>
    <col min="2046" max="2047" width="19.42578125" style="798" bestFit="1" customWidth="1"/>
    <col min="2048" max="2048" width="19.7109375" style="798" customWidth="1"/>
    <col min="2049" max="2050" width="20.42578125" style="798" customWidth="1"/>
    <col min="2051" max="2052" width="19.7109375" style="798" customWidth="1"/>
    <col min="2053" max="2053" width="25.28515625" style="798" customWidth="1"/>
    <col min="2054" max="2054" width="26" style="798" customWidth="1"/>
    <col min="2055" max="2055" width="22.28515625" style="798" customWidth="1"/>
    <col min="2056" max="2056" width="24.85546875" style="798" customWidth="1"/>
    <col min="2057" max="2057" width="21.140625" style="798" customWidth="1"/>
    <col min="2058" max="2058" width="21.42578125" style="798" customWidth="1"/>
    <col min="2059" max="2059" width="27.85546875" style="798" customWidth="1"/>
    <col min="2060" max="2060" width="23.42578125" style="798" customWidth="1"/>
    <col min="2061" max="2061" width="21.42578125" style="798" customWidth="1"/>
    <col min="2062" max="2064" width="20.7109375" style="798" customWidth="1"/>
    <col min="2065" max="2065" width="32.28515625" style="798" bestFit="1" customWidth="1"/>
    <col min="2066" max="2066" width="20.7109375" style="798" customWidth="1"/>
    <col min="2067" max="2067" width="22" style="798" customWidth="1"/>
    <col min="2068" max="2071" width="21.28515625" style="798" customWidth="1"/>
    <col min="2072" max="2072" width="22.28515625" style="798" customWidth="1"/>
    <col min="2073" max="2074" width="11.42578125" style="798"/>
    <col min="2075" max="2075" width="14.85546875" style="798" bestFit="1" customWidth="1"/>
    <col min="2076" max="2300" width="11.42578125" style="798"/>
    <col min="2301" max="2301" width="34.42578125" style="798" customWidth="1"/>
    <col min="2302" max="2303" width="19.42578125" style="798" bestFit="1" customWidth="1"/>
    <col min="2304" max="2304" width="19.7109375" style="798" customWidth="1"/>
    <col min="2305" max="2306" width="20.42578125" style="798" customWidth="1"/>
    <col min="2307" max="2308" width="19.7109375" style="798" customWidth="1"/>
    <col min="2309" max="2309" width="25.28515625" style="798" customWidth="1"/>
    <col min="2310" max="2310" width="26" style="798" customWidth="1"/>
    <col min="2311" max="2311" width="22.28515625" style="798" customWidth="1"/>
    <col min="2312" max="2312" width="24.85546875" style="798" customWidth="1"/>
    <col min="2313" max="2313" width="21.140625" style="798" customWidth="1"/>
    <col min="2314" max="2314" width="21.42578125" style="798" customWidth="1"/>
    <col min="2315" max="2315" width="27.85546875" style="798" customWidth="1"/>
    <col min="2316" max="2316" width="23.42578125" style="798" customWidth="1"/>
    <col min="2317" max="2317" width="21.42578125" style="798" customWidth="1"/>
    <col min="2318" max="2320" width="20.7109375" style="798" customWidth="1"/>
    <col min="2321" max="2321" width="32.28515625" style="798" bestFit="1" customWidth="1"/>
    <col min="2322" max="2322" width="20.7109375" style="798" customWidth="1"/>
    <col min="2323" max="2323" width="22" style="798" customWidth="1"/>
    <col min="2324" max="2327" width="21.28515625" style="798" customWidth="1"/>
    <col min="2328" max="2328" width="22.28515625" style="798" customWidth="1"/>
    <col min="2329" max="2330" width="11.42578125" style="798"/>
    <col min="2331" max="2331" width="14.85546875" style="798" bestFit="1" customWidth="1"/>
    <col min="2332" max="2556" width="11.42578125" style="798"/>
    <col min="2557" max="2557" width="34.42578125" style="798" customWidth="1"/>
    <col min="2558" max="2559" width="19.42578125" style="798" bestFit="1" customWidth="1"/>
    <col min="2560" max="2560" width="19.7109375" style="798" customWidth="1"/>
    <col min="2561" max="2562" width="20.42578125" style="798" customWidth="1"/>
    <col min="2563" max="2564" width="19.7109375" style="798" customWidth="1"/>
    <col min="2565" max="2565" width="25.28515625" style="798" customWidth="1"/>
    <col min="2566" max="2566" width="26" style="798" customWidth="1"/>
    <col min="2567" max="2567" width="22.28515625" style="798" customWidth="1"/>
    <col min="2568" max="2568" width="24.85546875" style="798" customWidth="1"/>
    <col min="2569" max="2569" width="21.140625" style="798" customWidth="1"/>
    <col min="2570" max="2570" width="21.42578125" style="798" customWidth="1"/>
    <col min="2571" max="2571" width="27.85546875" style="798" customWidth="1"/>
    <col min="2572" max="2572" width="23.42578125" style="798" customWidth="1"/>
    <col min="2573" max="2573" width="21.42578125" style="798" customWidth="1"/>
    <col min="2574" max="2576" width="20.7109375" style="798" customWidth="1"/>
    <col min="2577" max="2577" width="32.28515625" style="798" bestFit="1" customWidth="1"/>
    <col min="2578" max="2578" width="20.7109375" style="798" customWidth="1"/>
    <col min="2579" max="2579" width="22" style="798" customWidth="1"/>
    <col min="2580" max="2583" width="21.28515625" style="798" customWidth="1"/>
    <col min="2584" max="2584" width="22.28515625" style="798" customWidth="1"/>
    <col min="2585" max="2586" width="11.42578125" style="798"/>
    <col min="2587" max="2587" width="14.85546875" style="798" bestFit="1" customWidth="1"/>
    <col min="2588" max="2812" width="11.42578125" style="798"/>
    <col min="2813" max="2813" width="34.42578125" style="798" customWidth="1"/>
    <col min="2814" max="2815" width="19.42578125" style="798" bestFit="1" customWidth="1"/>
    <col min="2816" max="2816" width="19.7109375" style="798" customWidth="1"/>
    <col min="2817" max="2818" width="20.42578125" style="798" customWidth="1"/>
    <col min="2819" max="2820" width="19.7109375" style="798" customWidth="1"/>
    <col min="2821" max="2821" width="25.28515625" style="798" customWidth="1"/>
    <col min="2822" max="2822" width="26" style="798" customWidth="1"/>
    <col min="2823" max="2823" width="22.28515625" style="798" customWidth="1"/>
    <col min="2824" max="2824" width="24.85546875" style="798" customWidth="1"/>
    <col min="2825" max="2825" width="21.140625" style="798" customWidth="1"/>
    <col min="2826" max="2826" width="21.42578125" style="798" customWidth="1"/>
    <col min="2827" max="2827" width="27.85546875" style="798" customWidth="1"/>
    <col min="2828" max="2828" width="23.42578125" style="798" customWidth="1"/>
    <col min="2829" max="2829" width="21.42578125" style="798" customWidth="1"/>
    <col min="2830" max="2832" width="20.7109375" style="798" customWidth="1"/>
    <col min="2833" max="2833" width="32.28515625" style="798" bestFit="1" customWidth="1"/>
    <col min="2834" max="2834" width="20.7109375" style="798" customWidth="1"/>
    <col min="2835" max="2835" width="22" style="798" customWidth="1"/>
    <col min="2836" max="2839" width="21.28515625" style="798" customWidth="1"/>
    <col min="2840" max="2840" width="22.28515625" style="798" customWidth="1"/>
    <col min="2841" max="2842" width="11.42578125" style="798"/>
    <col min="2843" max="2843" width="14.85546875" style="798" bestFit="1" customWidth="1"/>
    <col min="2844" max="3068" width="11.42578125" style="798"/>
    <col min="3069" max="3069" width="34.42578125" style="798" customWidth="1"/>
    <col min="3070" max="3071" width="19.42578125" style="798" bestFit="1" customWidth="1"/>
    <col min="3072" max="3072" width="19.7109375" style="798" customWidth="1"/>
    <col min="3073" max="3074" width="20.42578125" style="798" customWidth="1"/>
    <col min="3075" max="3076" width="19.7109375" style="798" customWidth="1"/>
    <col min="3077" max="3077" width="25.28515625" style="798" customWidth="1"/>
    <col min="3078" max="3078" width="26" style="798" customWidth="1"/>
    <col min="3079" max="3079" width="22.28515625" style="798" customWidth="1"/>
    <col min="3080" max="3080" width="24.85546875" style="798" customWidth="1"/>
    <col min="3081" max="3081" width="21.140625" style="798" customWidth="1"/>
    <col min="3082" max="3082" width="21.42578125" style="798" customWidth="1"/>
    <col min="3083" max="3083" width="27.85546875" style="798" customWidth="1"/>
    <col min="3084" max="3084" width="23.42578125" style="798" customWidth="1"/>
    <col min="3085" max="3085" width="21.42578125" style="798" customWidth="1"/>
    <col min="3086" max="3088" width="20.7109375" style="798" customWidth="1"/>
    <col min="3089" max="3089" width="32.28515625" style="798" bestFit="1" customWidth="1"/>
    <col min="3090" max="3090" width="20.7109375" style="798" customWidth="1"/>
    <col min="3091" max="3091" width="22" style="798" customWidth="1"/>
    <col min="3092" max="3095" width="21.28515625" style="798" customWidth="1"/>
    <col min="3096" max="3096" width="22.28515625" style="798" customWidth="1"/>
    <col min="3097" max="3098" width="11.42578125" style="798"/>
    <col min="3099" max="3099" width="14.85546875" style="798" bestFit="1" customWidth="1"/>
    <col min="3100" max="3324" width="11.42578125" style="798"/>
    <col min="3325" max="3325" width="34.42578125" style="798" customWidth="1"/>
    <col min="3326" max="3327" width="19.42578125" style="798" bestFit="1" customWidth="1"/>
    <col min="3328" max="3328" width="19.7109375" style="798" customWidth="1"/>
    <col min="3329" max="3330" width="20.42578125" style="798" customWidth="1"/>
    <col min="3331" max="3332" width="19.7109375" style="798" customWidth="1"/>
    <col min="3333" max="3333" width="25.28515625" style="798" customWidth="1"/>
    <col min="3334" max="3334" width="26" style="798" customWidth="1"/>
    <col min="3335" max="3335" width="22.28515625" style="798" customWidth="1"/>
    <col min="3336" max="3336" width="24.85546875" style="798" customWidth="1"/>
    <col min="3337" max="3337" width="21.140625" style="798" customWidth="1"/>
    <col min="3338" max="3338" width="21.42578125" style="798" customWidth="1"/>
    <col min="3339" max="3339" width="27.85546875" style="798" customWidth="1"/>
    <col min="3340" max="3340" width="23.42578125" style="798" customWidth="1"/>
    <col min="3341" max="3341" width="21.42578125" style="798" customWidth="1"/>
    <col min="3342" max="3344" width="20.7109375" style="798" customWidth="1"/>
    <col min="3345" max="3345" width="32.28515625" style="798" bestFit="1" customWidth="1"/>
    <col min="3346" max="3346" width="20.7109375" style="798" customWidth="1"/>
    <col min="3347" max="3347" width="22" style="798" customWidth="1"/>
    <col min="3348" max="3351" width="21.28515625" style="798" customWidth="1"/>
    <col min="3352" max="3352" width="22.28515625" style="798" customWidth="1"/>
    <col min="3353" max="3354" width="11.42578125" style="798"/>
    <col min="3355" max="3355" width="14.85546875" style="798" bestFit="1" customWidth="1"/>
    <col min="3356" max="3580" width="11.42578125" style="798"/>
    <col min="3581" max="3581" width="34.42578125" style="798" customWidth="1"/>
    <col min="3582" max="3583" width="19.42578125" style="798" bestFit="1" customWidth="1"/>
    <col min="3584" max="3584" width="19.7109375" style="798" customWidth="1"/>
    <col min="3585" max="3586" width="20.42578125" style="798" customWidth="1"/>
    <col min="3587" max="3588" width="19.7109375" style="798" customWidth="1"/>
    <col min="3589" max="3589" width="25.28515625" style="798" customWidth="1"/>
    <col min="3590" max="3590" width="26" style="798" customWidth="1"/>
    <col min="3591" max="3591" width="22.28515625" style="798" customWidth="1"/>
    <col min="3592" max="3592" width="24.85546875" style="798" customWidth="1"/>
    <col min="3593" max="3593" width="21.140625" style="798" customWidth="1"/>
    <col min="3594" max="3594" width="21.42578125" style="798" customWidth="1"/>
    <col min="3595" max="3595" width="27.85546875" style="798" customWidth="1"/>
    <col min="3596" max="3596" width="23.42578125" style="798" customWidth="1"/>
    <col min="3597" max="3597" width="21.42578125" style="798" customWidth="1"/>
    <col min="3598" max="3600" width="20.7109375" style="798" customWidth="1"/>
    <col min="3601" max="3601" width="32.28515625" style="798" bestFit="1" customWidth="1"/>
    <col min="3602" max="3602" width="20.7109375" style="798" customWidth="1"/>
    <col min="3603" max="3603" width="22" style="798" customWidth="1"/>
    <col min="3604" max="3607" width="21.28515625" style="798" customWidth="1"/>
    <col min="3608" max="3608" width="22.28515625" style="798" customWidth="1"/>
    <col min="3609" max="3610" width="11.42578125" style="798"/>
    <col min="3611" max="3611" width="14.85546875" style="798" bestFit="1" customWidth="1"/>
    <col min="3612" max="3836" width="11.42578125" style="798"/>
    <col min="3837" max="3837" width="34.42578125" style="798" customWidth="1"/>
    <col min="3838" max="3839" width="19.42578125" style="798" bestFit="1" customWidth="1"/>
    <col min="3840" max="3840" width="19.7109375" style="798" customWidth="1"/>
    <col min="3841" max="3842" width="20.42578125" style="798" customWidth="1"/>
    <col min="3843" max="3844" width="19.7109375" style="798" customWidth="1"/>
    <col min="3845" max="3845" width="25.28515625" style="798" customWidth="1"/>
    <col min="3846" max="3846" width="26" style="798" customWidth="1"/>
    <col min="3847" max="3847" width="22.28515625" style="798" customWidth="1"/>
    <col min="3848" max="3848" width="24.85546875" style="798" customWidth="1"/>
    <col min="3849" max="3849" width="21.140625" style="798" customWidth="1"/>
    <col min="3850" max="3850" width="21.42578125" style="798" customWidth="1"/>
    <col min="3851" max="3851" width="27.85546875" style="798" customWidth="1"/>
    <col min="3852" max="3852" width="23.42578125" style="798" customWidth="1"/>
    <col min="3853" max="3853" width="21.42578125" style="798" customWidth="1"/>
    <col min="3854" max="3856" width="20.7109375" style="798" customWidth="1"/>
    <col min="3857" max="3857" width="32.28515625" style="798" bestFit="1" customWidth="1"/>
    <col min="3858" max="3858" width="20.7109375" style="798" customWidth="1"/>
    <col min="3859" max="3859" width="22" style="798" customWidth="1"/>
    <col min="3860" max="3863" width="21.28515625" style="798" customWidth="1"/>
    <col min="3864" max="3864" width="22.28515625" style="798" customWidth="1"/>
    <col min="3865" max="3866" width="11.42578125" style="798"/>
    <col min="3867" max="3867" width="14.85546875" style="798" bestFit="1" customWidth="1"/>
    <col min="3868" max="4092" width="11.42578125" style="798"/>
    <col min="4093" max="4093" width="34.42578125" style="798" customWidth="1"/>
    <col min="4094" max="4095" width="19.42578125" style="798" bestFit="1" customWidth="1"/>
    <col min="4096" max="4096" width="19.7109375" style="798" customWidth="1"/>
    <col min="4097" max="4098" width="20.42578125" style="798" customWidth="1"/>
    <col min="4099" max="4100" width="19.7109375" style="798" customWidth="1"/>
    <col min="4101" max="4101" width="25.28515625" style="798" customWidth="1"/>
    <col min="4102" max="4102" width="26" style="798" customWidth="1"/>
    <col min="4103" max="4103" width="22.28515625" style="798" customWidth="1"/>
    <col min="4104" max="4104" width="24.85546875" style="798" customWidth="1"/>
    <col min="4105" max="4105" width="21.140625" style="798" customWidth="1"/>
    <col min="4106" max="4106" width="21.42578125" style="798" customWidth="1"/>
    <col min="4107" max="4107" width="27.85546875" style="798" customWidth="1"/>
    <col min="4108" max="4108" width="23.42578125" style="798" customWidth="1"/>
    <col min="4109" max="4109" width="21.42578125" style="798" customWidth="1"/>
    <col min="4110" max="4112" width="20.7109375" style="798" customWidth="1"/>
    <col min="4113" max="4113" width="32.28515625" style="798" bestFit="1" customWidth="1"/>
    <col min="4114" max="4114" width="20.7109375" style="798" customWidth="1"/>
    <col min="4115" max="4115" width="22" style="798" customWidth="1"/>
    <col min="4116" max="4119" width="21.28515625" style="798" customWidth="1"/>
    <col min="4120" max="4120" width="22.28515625" style="798" customWidth="1"/>
    <col min="4121" max="4122" width="11.42578125" style="798"/>
    <col min="4123" max="4123" width="14.85546875" style="798" bestFit="1" customWidth="1"/>
    <col min="4124" max="4348" width="11.42578125" style="798"/>
    <col min="4349" max="4349" width="34.42578125" style="798" customWidth="1"/>
    <col min="4350" max="4351" width="19.42578125" style="798" bestFit="1" customWidth="1"/>
    <col min="4352" max="4352" width="19.7109375" style="798" customWidth="1"/>
    <col min="4353" max="4354" width="20.42578125" style="798" customWidth="1"/>
    <col min="4355" max="4356" width="19.7109375" style="798" customWidth="1"/>
    <col min="4357" max="4357" width="25.28515625" style="798" customWidth="1"/>
    <col min="4358" max="4358" width="26" style="798" customWidth="1"/>
    <col min="4359" max="4359" width="22.28515625" style="798" customWidth="1"/>
    <col min="4360" max="4360" width="24.85546875" style="798" customWidth="1"/>
    <col min="4361" max="4361" width="21.140625" style="798" customWidth="1"/>
    <col min="4362" max="4362" width="21.42578125" style="798" customWidth="1"/>
    <col min="4363" max="4363" width="27.85546875" style="798" customWidth="1"/>
    <col min="4364" max="4364" width="23.42578125" style="798" customWidth="1"/>
    <col min="4365" max="4365" width="21.42578125" style="798" customWidth="1"/>
    <col min="4366" max="4368" width="20.7109375" style="798" customWidth="1"/>
    <col min="4369" max="4369" width="32.28515625" style="798" bestFit="1" customWidth="1"/>
    <col min="4370" max="4370" width="20.7109375" style="798" customWidth="1"/>
    <col min="4371" max="4371" width="22" style="798" customWidth="1"/>
    <col min="4372" max="4375" width="21.28515625" style="798" customWidth="1"/>
    <col min="4376" max="4376" width="22.28515625" style="798" customWidth="1"/>
    <col min="4377" max="4378" width="11.42578125" style="798"/>
    <col min="4379" max="4379" width="14.85546875" style="798" bestFit="1" customWidth="1"/>
    <col min="4380" max="4604" width="11.42578125" style="798"/>
    <col min="4605" max="4605" width="34.42578125" style="798" customWidth="1"/>
    <col min="4606" max="4607" width="19.42578125" style="798" bestFit="1" customWidth="1"/>
    <col min="4608" max="4608" width="19.7109375" style="798" customWidth="1"/>
    <col min="4609" max="4610" width="20.42578125" style="798" customWidth="1"/>
    <col min="4611" max="4612" width="19.7109375" style="798" customWidth="1"/>
    <col min="4613" max="4613" width="25.28515625" style="798" customWidth="1"/>
    <col min="4614" max="4614" width="26" style="798" customWidth="1"/>
    <col min="4615" max="4615" width="22.28515625" style="798" customWidth="1"/>
    <col min="4616" max="4616" width="24.85546875" style="798" customWidth="1"/>
    <col min="4617" max="4617" width="21.140625" style="798" customWidth="1"/>
    <col min="4618" max="4618" width="21.42578125" style="798" customWidth="1"/>
    <col min="4619" max="4619" width="27.85546875" style="798" customWidth="1"/>
    <col min="4620" max="4620" width="23.42578125" style="798" customWidth="1"/>
    <col min="4621" max="4621" width="21.42578125" style="798" customWidth="1"/>
    <col min="4622" max="4624" width="20.7109375" style="798" customWidth="1"/>
    <col min="4625" max="4625" width="32.28515625" style="798" bestFit="1" customWidth="1"/>
    <col min="4626" max="4626" width="20.7109375" style="798" customWidth="1"/>
    <col min="4627" max="4627" width="22" style="798" customWidth="1"/>
    <col min="4628" max="4631" width="21.28515625" style="798" customWidth="1"/>
    <col min="4632" max="4632" width="22.28515625" style="798" customWidth="1"/>
    <col min="4633" max="4634" width="11.42578125" style="798"/>
    <col min="4635" max="4635" width="14.85546875" style="798" bestFit="1" customWidth="1"/>
    <col min="4636" max="4860" width="11.42578125" style="798"/>
    <col min="4861" max="4861" width="34.42578125" style="798" customWidth="1"/>
    <col min="4862" max="4863" width="19.42578125" style="798" bestFit="1" customWidth="1"/>
    <col min="4864" max="4864" width="19.7109375" style="798" customWidth="1"/>
    <col min="4865" max="4866" width="20.42578125" style="798" customWidth="1"/>
    <col min="4867" max="4868" width="19.7109375" style="798" customWidth="1"/>
    <col min="4869" max="4869" width="25.28515625" style="798" customWidth="1"/>
    <col min="4870" max="4870" width="26" style="798" customWidth="1"/>
    <col min="4871" max="4871" width="22.28515625" style="798" customWidth="1"/>
    <col min="4872" max="4872" width="24.85546875" style="798" customWidth="1"/>
    <col min="4873" max="4873" width="21.140625" style="798" customWidth="1"/>
    <col min="4874" max="4874" width="21.42578125" style="798" customWidth="1"/>
    <col min="4875" max="4875" width="27.85546875" style="798" customWidth="1"/>
    <col min="4876" max="4876" width="23.42578125" style="798" customWidth="1"/>
    <col min="4877" max="4877" width="21.42578125" style="798" customWidth="1"/>
    <col min="4878" max="4880" width="20.7109375" style="798" customWidth="1"/>
    <col min="4881" max="4881" width="32.28515625" style="798" bestFit="1" customWidth="1"/>
    <col min="4882" max="4882" width="20.7109375" style="798" customWidth="1"/>
    <col min="4883" max="4883" width="22" style="798" customWidth="1"/>
    <col min="4884" max="4887" width="21.28515625" style="798" customWidth="1"/>
    <col min="4888" max="4888" width="22.28515625" style="798" customWidth="1"/>
    <col min="4889" max="4890" width="11.42578125" style="798"/>
    <col min="4891" max="4891" width="14.85546875" style="798" bestFit="1" customWidth="1"/>
    <col min="4892" max="5116" width="11.42578125" style="798"/>
    <col min="5117" max="5117" width="34.42578125" style="798" customWidth="1"/>
    <col min="5118" max="5119" width="19.42578125" style="798" bestFit="1" customWidth="1"/>
    <col min="5120" max="5120" width="19.7109375" style="798" customWidth="1"/>
    <col min="5121" max="5122" width="20.42578125" style="798" customWidth="1"/>
    <col min="5123" max="5124" width="19.7109375" style="798" customWidth="1"/>
    <col min="5125" max="5125" width="25.28515625" style="798" customWidth="1"/>
    <col min="5126" max="5126" width="26" style="798" customWidth="1"/>
    <col min="5127" max="5127" width="22.28515625" style="798" customWidth="1"/>
    <col min="5128" max="5128" width="24.85546875" style="798" customWidth="1"/>
    <col min="5129" max="5129" width="21.140625" style="798" customWidth="1"/>
    <col min="5130" max="5130" width="21.42578125" style="798" customWidth="1"/>
    <col min="5131" max="5131" width="27.85546875" style="798" customWidth="1"/>
    <col min="5132" max="5132" width="23.42578125" style="798" customWidth="1"/>
    <col min="5133" max="5133" width="21.42578125" style="798" customWidth="1"/>
    <col min="5134" max="5136" width="20.7109375" style="798" customWidth="1"/>
    <col min="5137" max="5137" width="32.28515625" style="798" bestFit="1" customWidth="1"/>
    <col min="5138" max="5138" width="20.7109375" style="798" customWidth="1"/>
    <col min="5139" max="5139" width="22" style="798" customWidth="1"/>
    <col min="5140" max="5143" width="21.28515625" style="798" customWidth="1"/>
    <col min="5144" max="5144" width="22.28515625" style="798" customWidth="1"/>
    <col min="5145" max="5146" width="11.42578125" style="798"/>
    <col min="5147" max="5147" width="14.85546875" style="798" bestFit="1" customWidth="1"/>
    <col min="5148" max="5372" width="11.42578125" style="798"/>
    <col min="5373" max="5373" width="34.42578125" style="798" customWidth="1"/>
    <col min="5374" max="5375" width="19.42578125" style="798" bestFit="1" customWidth="1"/>
    <col min="5376" max="5376" width="19.7109375" style="798" customWidth="1"/>
    <col min="5377" max="5378" width="20.42578125" style="798" customWidth="1"/>
    <col min="5379" max="5380" width="19.7109375" style="798" customWidth="1"/>
    <col min="5381" max="5381" width="25.28515625" style="798" customWidth="1"/>
    <col min="5382" max="5382" width="26" style="798" customWidth="1"/>
    <col min="5383" max="5383" width="22.28515625" style="798" customWidth="1"/>
    <col min="5384" max="5384" width="24.85546875" style="798" customWidth="1"/>
    <col min="5385" max="5385" width="21.140625" style="798" customWidth="1"/>
    <col min="5386" max="5386" width="21.42578125" style="798" customWidth="1"/>
    <col min="5387" max="5387" width="27.85546875" style="798" customWidth="1"/>
    <col min="5388" max="5388" width="23.42578125" style="798" customWidth="1"/>
    <col min="5389" max="5389" width="21.42578125" style="798" customWidth="1"/>
    <col min="5390" max="5392" width="20.7109375" style="798" customWidth="1"/>
    <col min="5393" max="5393" width="32.28515625" style="798" bestFit="1" customWidth="1"/>
    <col min="5394" max="5394" width="20.7109375" style="798" customWidth="1"/>
    <col min="5395" max="5395" width="22" style="798" customWidth="1"/>
    <col min="5396" max="5399" width="21.28515625" style="798" customWidth="1"/>
    <col min="5400" max="5400" width="22.28515625" style="798" customWidth="1"/>
    <col min="5401" max="5402" width="11.42578125" style="798"/>
    <col min="5403" max="5403" width="14.85546875" style="798" bestFit="1" customWidth="1"/>
    <col min="5404" max="5628" width="11.42578125" style="798"/>
    <col min="5629" max="5629" width="34.42578125" style="798" customWidth="1"/>
    <col min="5630" max="5631" width="19.42578125" style="798" bestFit="1" customWidth="1"/>
    <col min="5632" max="5632" width="19.7109375" style="798" customWidth="1"/>
    <col min="5633" max="5634" width="20.42578125" style="798" customWidth="1"/>
    <col min="5635" max="5636" width="19.7109375" style="798" customWidth="1"/>
    <col min="5637" max="5637" width="25.28515625" style="798" customWidth="1"/>
    <col min="5638" max="5638" width="26" style="798" customWidth="1"/>
    <col min="5639" max="5639" width="22.28515625" style="798" customWidth="1"/>
    <col min="5640" max="5640" width="24.85546875" style="798" customWidth="1"/>
    <col min="5641" max="5641" width="21.140625" style="798" customWidth="1"/>
    <col min="5642" max="5642" width="21.42578125" style="798" customWidth="1"/>
    <col min="5643" max="5643" width="27.85546875" style="798" customWidth="1"/>
    <col min="5644" max="5644" width="23.42578125" style="798" customWidth="1"/>
    <col min="5645" max="5645" width="21.42578125" style="798" customWidth="1"/>
    <col min="5646" max="5648" width="20.7109375" style="798" customWidth="1"/>
    <col min="5649" max="5649" width="32.28515625" style="798" bestFit="1" customWidth="1"/>
    <col min="5650" max="5650" width="20.7109375" style="798" customWidth="1"/>
    <col min="5651" max="5651" width="22" style="798" customWidth="1"/>
    <col min="5652" max="5655" width="21.28515625" style="798" customWidth="1"/>
    <col min="5656" max="5656" width="22.28515625" style="798" customWidth="1"/>
    <col min="5657" max="5658" width="11.42578125" style="798"/>
    <col min="5659" max="5659" width="14.85546875" style="798" bestFit="1" customWidth="1"/>
    <col min="5660" max="5884" width="11.42578125" style="798"/>
    <col min="5885" max="5885" width="34.42578125" style="798" customWidth="1"/>
    <col min="5886" max="5887" width="19.42578125" style="798" bestFit="1" customWidth="1"/>
    <col min="5888" max="5888" width="19.7109375" style="798" customWidth="1"/>
    <col min="5889" max="5890" width="20.42578125" style="798" customWidth="1"/>
    <col min="5891" max="5892" width="19.7109375" style="798" customWidth="1"/>
    <col min="5893" max="5893" width="25.28515625" style="798" customWidth="1"/>
    <col min="5894" max="5894" width="26" style="798" customWidth="1"/>
    <col min="5895" max="5895" width="22.28515625" style="798" customWidth="1"/>
    <col min="5896" max="5896" width="24.85546875" style="798" customWidth="1"/>
    <col min="5897" max="5897" width="21.140625" style="798" customWidth="1"/>
    <col min="5898" max="5898" width="21.42578125" style="798" customWidth="1"/>
    <col min="5899" max="5899" width="27.85546875" style="798" customWidth="1"/>
    <col min="5900" max="5900" width="23.42578125" style="798" customWidth="1"/>
    <col min="5901" max="5901" width="21.42578125" style="798" customWidth="1"/>
    <col min="5902" max="5904" width="20.7109375" style="798" customWidth="1"/>
    <col min="5905" max="5905" width="32.28515625" style="798" bestFit="1" customWidth="1"/>
    <col min="5906" max="5906" width="20.7109375" style="798" customWidth="1"/>
    <col min="5907" max="5907" width="22" style="798" customWidth="1"/>
    <col min="5908" max="5911" width="21.28515625" style="798" customWidth="1"/>
    <col min="5912" max="5912" width="22.28515625" style="798" customWidth="1"/>
    <col min="5913" max="5914" width="11.42578125" style="798"/>
    <col min="5915" max="5915" width="14.85546875" style="798" bestFit="1" customWidth="1"/>
    <col min="5916" max="6140" width="11.42578125" style="798"/>
    <col min="6141" max="6141" width="34.42578125" style="798" customWidth="1"/>
    <col min="6142" max="6143" width="19.42578125" style="798" bestFit="1" customWidth="1"/>
    <col min="6144" max="6144" width="19.7109375" style="798" customWidth="1"/>
    <col min="6145" max="6146" width="20.42578125" style="798" customWidth="1"/>
    <col min="6147" max="6148" width="19.7109375" style="798" customWidth="1"/>
    <col min="6149" max="6149" width="25.28515625" style="798" customWidth="1"/>
    <col min="6150" max="6150" width="26" style="798" customWidth="1"/>
    <col min="6151" max="6151" width="22.28515625" style="798" customWidth="1"/>
    <col min="6152" max="6152" width="24.85546875" style="798" customWidth="1"/>
    <col min="6153" max="6153" width="21.140625" style="798" customWidth="1"/>
    <col min="6154" max="6154" width="21.42578125" style="798" customWidth="1"/>
    <col min="6155" max="6155" width="27.85546875" style="798" customWidth="1"/>
    <col min="6156" max="6156" width="23.42578125" style="798" customWidth="1"/>
    <col min="6157" max="6157" width="21.42578125" style="798" customWidth="1"/>
    <col min="6158" max="6160" width="20.7109375" style="798" customWidth="1"/>
    <col min="6161" max="6161" width="32.28515625" style="798" bestFit="1" customWidth="1"/>
    <col min="6162" max="6162" width="20.7109375" style="798" customWidth="1"/>
    <col min="6163" max="6163" width="22" style="798" customWidth="1"/>
    <col min="6164" max="6167" width="21.28515625" style="798" customWidth="1"/>
    <col min="6168" max="6168" width="22.28515625" style="798" customWidth="1"/>
    <col min="6169" max="6170" width="11.42578125" style="798"/>
    <col min="6171" max="6171" width="14.85546875" style="798" bestFit="1" customWidth="1"/>
    <col min="6172" max="6396" width="11.42578125" style="798"/>
    <col min="6397" max="6397" width="34.42578125" style="798" customWidth="1"/>
    <col min="6398" max="6399" width="19.42578125" style="798" bestFit="1" customWidth="1"/>
    <col min="6400" max="6400" width="19.7109375" style="798" customWidth="1"/>
    <col min="6401" max="6402" width="20.42578125" style="798" customWidth="1"/>
    <col min="6403" max="6404" width="19.7109375" style="798" customWidth="1"/>
    <col min="6405" max="6405" width="25.28515625" style="798" customWidth="1"/>
    <col min="6406" max="6406" width="26" style="798" customWidth="1"/>
    <col min="6407" max="6407" width="22.28515625" style="798" customWidth="1"/>
    <col min="6408" max="6408" width="24.85546875" style="798" customWidth="1"/>
    <col min="6409" max="6409" width="21.140625" style="798" customWidth="1"/>
    <col min="6410" max="6410" width="21.42578125" style="798" customWidth="1"/>
    <col min="6411" max="6411" width="27.85546875" style="798" customWidth="1"/>
    <col min="6412" max="6412" width="23.42578125" style="798" customWidth="1"/>
    <col min="6413" max="6413" width="21.42578125" style="798" customWidth="1"/>
    <col min="6414" max="6416" width="20.7109375" style="798" customWidth="1"/>
    <col min="6417" max="6417" width="32.28515625" style="798" bestFit="1" customWidth="1"/>
    <col min="6418" max="6418" width="20.7109375" style="798" customWidth="1"/>
    <col min="6419" max="6419" width="22" style="798" customWidth="1"/>
    <col min="6420" max="6423" width="21.28515625" style="798" customWidth="1"/>
    <col min="6424" max="6424" width="22.28515625" style="798" customWidth="1"/>
    <col min="6425" max="6426" width="11.42578125" style="798"/>
    <col min="6427" max="6427" width="14.85546875" style="798" bestFit="1" customWidth="1"/>
    <col min="6428" max="6652" width="11.42578125" style="798"/>
    <col min="6653" max="6653" width="34.42578125" style="798" customWidth="1"/>
    <col min="6654" max="6655" width="19.42578125" style="798" bestFit="1" customWidth="1"/>
    <col min="6656" max="6656" width="19.7109375" style="798" customWidth="1"/>
    <col min="6657" max="6658" width="20.42578125" style="798" customWidth="1"/>
    <col min="6659" max="6660" width="19.7109375" style="798" customWidth="1"/>
    <col min="6661" max="6661" width="25.28515625" style="798" customWidth="1"/>
    <col min="6662" max="6662" width="26" style="798" customWidth="1"/>
    <col min="6663" max="6663" width="22.28515625" style="798" customWidth="1"/>
    <col min="6664" max="6664" width="24.85546875" style="798" customWidth="1"/>
    <col min="6665" max="6665" width="21.140625" style="798" customWidth="1"/>
    <col min="6666" max="6666" width="21.42578125" style="798" customWidth="1"/>
    <col min="6667" max="6667" width="27.85546875" style="798" customWidth="1"/>
    <col min="6668" max="6668" width="23.42578125" style="798" customWidth="1"/>
    <col min="6669" max="6669" width="21.42578125" style="798" customWidth="1"/>
    <col min="6670" max="6672" width="20.7109375" style="798" customWidth="1"/>
    <col min="6673" max="6673" width="32.28515625" style="798" bestFit="1" customWidth="1"/>
    <col min="6674" max="6674" width="20.7109375" style="798" customWidth="1"/>
    <col min="6675" max="6675" width="22" style="798" customWidth="1"/>
    <col min="6676" max="6679" width="21.28515625" style="798" customWidth="1"/>
    <col min="6680" max="6680" width="22.28515625" style="798" customWidth="1"/>
    <col min="6681" max="6682" width="11.42578125" style="798"/>
    <col min="6683" max="6683" width="14.85546875" style="798" bestFit="1" customWidth="1"/>
    <col min="6684" max="6908" width="11.42578125" style="798"/>
    <col min="6909" max="6909" width="34.42578125" style="798" customWidth="1"/>
    <col min="6910" max="6911" width="19.42578125" style="798" bestFit="1" customWidth="1"/>
    <col min="6912" max="6912" width="19.7109375" style="798" customWidth="1"/>
    <col min="6913" max="6914" width="20.42578125" style="798" customWidth="1"/>
    <col min="6915" max="6916" width="19.7109375" style="798" customWidth="1"/>
    <col min="6917" max="6917" width="25.28515625" style="798" customWidth="1"/>
    <col min="6918" max="6918" width="26" style="798" customWidth="1"/>
    <col min="6919" max="6919" width="22.28515625" style="798" customWidth="1"/>
    <col min="6920" max="6920" width="24.85546875" style="798" customWidth="1"/>
    <col min="6921" max="6921" width="21.140625" style="798" customWidth="1"/>
    <col min="6922" max="6922" width="21.42578125" style="798" customWidth="1"/>
    <col min="6923" max="6923" width="27.85546875" style="798" customWidth="1"/>
    <col min="6924" max="6924" width="23.42578125" style="798" customWidth="1"/>
    <col min="6925" max="6925" width="21.42578125" style="798" customWidth="1"/>
    <col min="6926" max="6928" width="20.7109375" style="798" customWidth="1"/>
    <col min="6929" max="6929" width="32.28515625" style="798" bestFit="1" customWidth="1"/>
    <col min="6930" max="6930" width="20.7109375" style="798" customWidth="1"/>
    <col min="6931" max="6931" width="22" style="798" customWidth="1"/>
    <col min="6932" max="6935" width="21.28515625" style="798" customWidth="1"/>
    <col min="6936" max="6936" width="22.28515625" style="798" customWidth="1"/>
    <col min="6937" max="6938" width="11.42578125" style="798"/>
    <col min="6939" max="6939" width="14.85546875" style="798" bestFit="1" customWidth="1"/>
    <col min="6940" max="7164" width="11.42578125" style="798"/>
    <col min="7165" max="7165" width="34.42578125" style="798" customWidth="1"/>
    <col min="7166" max="7167" width="19.42578125" style="798" bestFit="1" customWidth="1"/>
    <col min="7168" max="7168" width="19.7109375" style="798" customWidth="1"/>
    <col min="7169" max="7170" width="20.42578125" style="798" customWidth="1"/>
    <col min="7171" max="7172" width="19.7109375" style="798" customWidth="1"/>
    <col min="7173" max="7173" width="25.28515625" style="798" customWidth="1"/>
    <col min="7174" max="7174" width="26" style="798" customWidth="1"/>
    <col min="7175" max="7175" width="22.28515625" style="798" customWidth="1"/>
    <col min="7176" max="7176" width="24.85546875" style="798" customWidth="1"/>
    <col min="7177" max="7177" width="21.140625" style="798" customWidth="1"/>
    <col min="7178" max="7178" width="21.42578125" style="798" customWidth="1"/>
    <col min="7179" max="7179" width="27.85546875" style="798" customWidth="1"/>
    <col min="7180" max="7180" width="23.42578125" style="798" customWidth="1"/>
    <col min="7181" max="7181" width="21.42578125" style="798" customWidth="1"/>
    <col min="7182" max="7184" width="20.7109375" style="798" customWidth="1"/>
    <col min="7185" max="7185" width="32.28515625" style="798" bestFit="1" customWidth="1"/>
    <col min="7186" max="7186" width="20.7109375" style="798" customWidth="1"/>
    <col min="7187" max="7187" width="22" style="798" customWidth="1"/>
    <col min="7188" max="7191" width="21.28515625" style="798" customWidth="1"/>
    <col min="7192" max="7192" width="22.28515625" style="798" customWidth="1"/>
    <col min="7193" max="7194" width="11.42578125" style="798"/>
    <col min="7195" max="7195" width="14.85546875" style="798" bestFit="1" customWidth="1"/>
    <col min="7196" max="7420" width="11.42578125" style="798"/>
    <col min="7421" max="7421" width="34.42578125" style="798" customWidth="1"/>
    <col min="7422" max="7423" width="19.42578125" style="798" bestFit="1" customWidth="1"/>
    <col min="7424" max="7424" width="19.7109375" style="798" customWidth="1"/>
    <col min="7425" max="7426" width="20.42578125" style="798" customWidth="1"/>
    <col min="7427" max="7428" width="19.7109375" style="798" customWidth="1"/>
    <col min="7429" max="7429" width="25.28515625" style="798" customWidth="1"/>
    <col min="7430" max="7430" width="26" style="798" customWidth="1"/>
    <col min="7431" max="7431" width="22.28515625" style="798" customWidth="1"/>
    <col min="7432" max="7432" width="24.85546875" style="798" customWidth="1"/>
    <col min="7433" max="7433" width="21.140625" style="798" customWidth="1"/>
    <col min="7434" max="7434" width="21.42578125" style="798" customWidth="1"/>
    <col min="7435" max="7435" width="27.85546875" style="798" customWidth="1"/>
    <col min="7436" max="7436" width="23.42578125" style="798" customWidth="1"/>
    <col min="7437" max="7437" width="21.42578125" style="798" customWidth="1"/>
    <col min="7438" max="7440" width="20.7109375" style="798" customWidth="1"/>
    <col min="7441" max="7441" width="32.28515625" style="798" bestFit="1" customWidth="1"/>
    <col min="7442" max="7442" width="20.7109375" style="798" customWidth="1"/>
    <col min="7443" max="7443" width="22" style="798" customWidth="1"/>
    <col min="7444" max="7447" width="21.28515625" style="798" customWidth="1"/>
    <col min="7448" max="7448" width="22.28515625" style="798" customWidth="1"/>
    <col min="7449" max="7450" width="11.42578125" style="798"/>
    <col min="7451" max="7451" width="14.85546875" style="798" bestFit="1" customWidth="1"/>
    <col min="7452" max="7676" width="11.42578125" style="798"/>
    <col min="7677" max="7677" width="34.42578125" style="798" customWidth="1"/>
    <col min="7678" max="7679" width="19.42578125" style="798" bestFit="1" customWidth="1"/>
    <col min="7680" max="7680" width="19.7109375" style="798" customWidth="1"/>
    <col min="7681" max="7682" width="20.42578125" style="798" customWidth="1"/>
    <col min="7683" max="7684" width="19.7109375" style="798" customWidth="1"/>
    <col min="7685" max="7685" width="25.28515625" style="798" customWidth="1"/>
    <col min="7686" max="7686" width="26" style="798" customWidth="1"/>
    <col min="7687" max="7687" width="22.28515625" style="798" customWidth="1"/>
    <col min="7688" max="7688" width="24.85546875" style="798" customWidth="1"/>
    <col min="7689" max="7689" width="21.140625" style="798" customWidth="1"/>
    <col min="7690" max="7690" width="21.42578125" style="798" customWidth="1"/>
    <col min="7691" max="7691" width="27.85546875" style="798" customWidth="1"/>
    <col min="7692" max="7692" width="23.42578125" style="798" customWidth="1"/>
    <col min="7693" max="7693" width="21.42578125" style="798" customWidth="1"/>
    <col min="7694" max="7696" width="20.7109375" style="798" customWidth="1"/>
    <col min="7697" max="7697" width="32.28515625" style="798" bestFit="1" customWidth="1"/>
    <col min="7698" max="7698" width="20.7109375" style="798" customWidth="1"/>
    <col min="7699" max="7699" width="22" style="798" customWidth="1"/>
    <col min="7700" max="7703" width="21.28515625" style="798" customWidth="1"/>
    <col min="7704" max="7704" width="22.28515625" style="798" customWidth="1"/>
    <col min="7705" max="7706" width="11.42578125" style="798"/>
    <col min="7707" max="7707" width="14.85546875" style="798" bestFit="1" customWidth="1"/>
    <col min="7708" max="7932" width="11.42578125" style="798"/>
    <col min="7933" max="7933" width="34.42578125" style="798" customWidth="1"/>
    <col min="7934" max="7935" width="19.42578125" style="798" bestFit="1" customWidth="1"/>
    <col min="7936" max="7936" width="19.7109375" style="798" customWidth="1"/>
    <col min="7937" max="7938" width="20.42578125" style="798" customWidth="1"/>
    <col min="7939" max="7940" width="19.7109375" style="798" customWidth="1"/>
    <col min="7941" max="7941" width="25.28515625" style="798" customWidth="1"/>
    <col min="7942" max="7942" width="26" style="798" customWidth="1"/>
    <col min="7943" max="7943" width="22.28515625" style="798" customWidth="1"/>
    <col min="7944" max="7944" width="24.85546875" style="798" customWidth="1"/>
    <col min="7945" max="7945" width="21.140625" style="798" customWidth="1"/>
    <col min="7946" max="7946" width="21.42578125" style="798" customWidth="1"/>
    <col min="7947" max="7947" width="27.85546875" style="798" customWidth="1"/>
    <col min="7948" max="7948" width="23.42578125" style="798" customWidth="1"/>
    <col min="7949" max="7949" width="21.42578125" style="798" customWidth="1"/>
    <col min="7950" max="7952" width="20.7109375" style="798" customWidth="1"/>
    <col min="7953" max="7953" width="32.28515625" style="798" bestFit="1" customWidth="1"/>
    <col min="7954" max="7954" width="20.7109375" style="798" customWidth="1"/>
    <col min="7955" max="7955" width="22" style="798" customWidth="1"/>
    <col min="7956" max="7959" width="21.28515625" style="798" customWidth="1"/>
    <col min="7960" max="7960" width="22.28515625" style="798" customWidth="1"/>
    <col min="7961" max="7962" width="11.42578125" style="798"/>
    <col min="7963" max="7963" width="14.85546875" style="798" bestFit="1" customWidth="1"/>
    <col min="7964" max="8188" width="11.42578125" style="798"/>
    <col min="8189" max="8189" width="34.42578125" style="798" customWidth="1"/>
    <col min="8190" max="8191" width="19.42578125" style="798" bestFit="1" customWidth="1"/>
    <col min="8192" max="8192" width="19.7109375" style="798" customWidth="1"/>
    <col min="8193" max="8194" width="20.42578125" style="798" customWidth="1"/>
    <col min="8195" max="8196" width="19.7109375" style="798" customWidth="1"/>
    <col min="8197" max="8197" width="25.28515625" style="798" customWidth="1"/>
    <col min="8198" max="8198" width="26" style="798" customWidth="1"/>
    <col min="8199" max="8199" width="22.28515625" style="798" customWidth="1"/>
    <col min="8200" max="8200" width="24.85546875" style="798" customWidth="1"/>
    <col min="8201" max="8201" width="21.140625" style="798" customWidth="1"/>
    <col min="8202" max="8202" width="21.42578125" style="798" customWidth="1"/>
    <col min="8203" max="8203" width="27.85546875" style="798" customWidth="1"/>
    <col min="8204" max="8204" width="23.42578125" style="798" customWidth="1"/>
    <col min="8205" max="8205" width="21.42578125" style="798" customWidth="1"/>
    <col min="8206" max="8208" width="20.7109375" style="798" customWidth="1"/>
    <col min="8209" max="8209" width="32.28515625" style="798" bestFit="1" customWidth="1"/>
    <col min="8210" max="8210" width="20.7109375" style="798" customWidth="1"/>
    <col min="8211" max="8211" width="22" style="798" customWidth="1"/>
    <col min="8212" max="8215" width="21.28515625" style="798" customWidth="1"/>
    <col min="8216" max="8216" width="22.28515625" style="798" customWidth="1"/>
    <col min="8217" max="8218" width="11.42578125" style="798"/>
    <col min="8219" max="8219" width="14.85546875" style="798" bestFit="1" customWidth="1"/>
    <col min="8220" max="8444" width="11.42578125" style="798"/>
    <col min="8445" max="8445" width="34.42578125" style="798" customWidth="1"/>
    <col min="8446" max="8447" width="19.42578125" style="798" bestFit="1" customWidth="1"/>
    <col min="8448" max="8448" width="19.7109375" style="798" customWidth="1"/>
    <col min="8449" max="8450" width="20.42578125" style="798" customWidth="1"/>
    <col min="8451" max="8452" width="19.7109375" style="798" customWidth="1"/>
    <col min="8453" max="8453" width="25.28515625" style="798" customWidth="1"/>
    <col min="8454" max="8454" width="26" style="798" customWidth="1"/>
    <col min="8455" max="8455" width="22.28515625" style="798" customWidth="1"/>
    <col min="8456" max="8456" width="24.85546875" style="798" customWidth="1"/>
    <col min="8457" max="8457" width="21.140625" style="798" customWidth="1"/>
    <col min="8458" max="8458" width="21.42578125" style="798" customWidth="1"/>
    <col min="8459" max="8459" width="27.85546875" style="798" customWidth="1"/>
    <col min="8460" max="8460" width="23.42578125" style="798" customWidth="1"/>
    <col min="8461" max="8461" width="21.42578125" style="798" customWidth="1"/>
    <col min="8462" max="8464" width="20.7109375" style="798" customWidth="1"/>
    <col min="8465" max="8465" width="32.28515625" style="798" bestFit="1" customWidth="1"/>
    <col min="8466" max="8466" width="20.7109375" style="798" customWidth="1"/>
    <col min="8467" max="8467" width="22" style="798" customWidth="1"/>
    <col min="8468" max="8471" width="21.28515625" style="798" customWidth="1"/>
    <col min="8472" max="8472" width="22.28515625" style="798" customWidth="1"/>
    <col min="8473" max="8474" width="11.42578125" style="798"/>
    <col min="8475" max="8475" width="14.85546875" style="798" bestFit="1" customWidth="1"/>
    <col min="8476" max="8700" width="11.42578125" style="798"/>
    <col min="8701" max="8701" width="34.42578125" style="798" customWidth="1"/>
    <col min="8702" max="8703" width="19.42578125" style="798" bestFit="1" customWidth="1"/>
    <col min="8704" max="8704" width="19.7109375" style="798" customWidth="1"/>
    <col min="8705" max="8706" width="20.42578125" style="798" customWidth="1"/>
    <col min="8707" max="8708" width="19.7109375" style="798" customWidth="1"/>
    <col min="8709" max="8709" width="25.28515625" style="798" customWidth="1"/>
    <col min="8710" max="8710" width="26" style="798" customWidth="1"/>
    <col min="8711" max="8711" width="22.28515625" style="798" customWidth="1"/>
    <col min="8712" max="8712" width="24.85546875" style="798" customWidth="1"/>
    <col min="8713" max="8713" width="21.140625" style="798" customWidth="1"/>
    <col min="8714" max="8714" width="21.42578125" style="798" customWidth="1"/>
    <col min="8715" max="8715" width="27.85546875" style="798" customWidth="1"/>
    <col min="8716" max="8716" width="23.42578125" style="798" customWidth="1"/>
    <col min="8717" max="8717" width="21.42578125" style="798" customWidth="1"/>
    <col min="8718" max="8720" width="20.7109375" style="798" customWidth="1"/>
    <col min="8721" max="8721" width="32.28515625" style="798" bestFit="1" customWidth="1"/>
    <col min="8722" max="8722" width="20.7109375" style="798" customWidth="1"/>
    <col min="8723" max="8723" width="22" style="798" customWidth="1"/>
    <col min="8724" max="8727" width="21.28515625" style="798" customWidth="1"/>
    <col min="8728" max="8728" width="22.28515625" style="798" customWidth="1"/>
    <col min="8729" max="8730" width="11.42578125" style="798"/>
    <col min="8731" max="8731" width="14.85546875" style="798" bestFit="1" customWidth="1"/>
    <col min="8732" max="8956" width="11.42578125" style="798"/>
    <col min="8957" max="8957" width="34.42578125" style="798" customWidth="1"/>
    <col min="8958" max="8959" width="19.42578125" style="798" bestFit="1" customWidth="1"/>
    <col min="8960" max="8960" width="19.7109375" style="798" customWidth="1"/>
    <col min="8961" max="8962" width="20.42578125" style="798" customWidth="1"/>
    <col min="8963" max="8964" width="19.7109375" style="798" customWidth="1"/>
    <col min="8965" max="8965" width="25.28515625" style="798" customWidth="1"/>
    <col min="8966" max="8966" width="26" style="798" customWidth="1"/>
    <col min="8967" max="8967" width="22.28515625" style="798" customWidth="1"/>
    <col min="8968" max="8968" width="24.85546875" style="798" customWidth="1"/>
    <col min="8969" max="8969" width="21.140625" style="798" customWidth="1"/>
    <col min="8970" max="8970" width="21.42578125" style="798" customWidth="1"/>
    <col min="8971" max="8971" width="27.85546875" style="798" customWidth="1"/>
    <col min="8972" max="8972" width="23.42578125" style="798" customWidth="1"/>
    <col min="8973" max="8973" width="21.42578125" style="798" customWidth="1"/>
    <col min="8974" max="8976" width="20.7109375" style="798" customWidth="1"/>
    <col min="8977" max="8977" width="32.28515625" style="798" bestFit="1" customWidth="1"/>
    <col min="8978" max="8978" width="20.7109375" style="798" customWidth="1"/>
    <col min="8979" max="8979" width="22" style="798" customWidth="1"/>
    <col min="8980" max="8983" width="21.28515625" style="798" customWidth="1"/>
    <col min="8984" max="8984" width="22.28515625" style="798" customWidth="1"/>
    <col min="8985" max="8986" width="11.42578125" style="798"/>
    <col min="8987" max="8987" width="14.85546875" style="798" bestFit="1" customWidth="1"/>
    <col min="8988" max="9212" width="11.42578125" style="798"/>
    <col min="9213" max="9213" width="34.42578125" style="798" customWidth="1"/>
    <col min="9214" max="9215" width="19.42578125" style="798" bestFit="1" customWidth="1"/>
    <col min="9216" max="9216" width="19.7109375" style="798" customWidth="1"/>
    <col min="9217" max="9218" width="20.42578125" style="798" customWidth="1"/>
    <col min="9219" max="9220" width="19.7109375" style="798" customWidth="1"/>
    <col min="9221" max="9221" width="25.28515625" style="798" customWidth="1"/>
    <col min="9222" max="9222" width="26" style="798" customWidth="1"/>
    <col min="9223" max="9223" width="22.28515625" style="798" customWidth="1"/>
    <col min="9224" max="9224" width="24.85546875" style="798" customWidth="1"/>
    <col min="9225" max="9225" width="21.140625" style="798" customWidth="1"/>
    <col min="9226" max="9226" width="21.42578125" style="798" customWidth="1"/>
    <col min="9227" max="9227" width="27.85546875" style="798" customWidth="1"/>
    <col min="9228" max="9228" width="23.42578125" style="798" customWidth="1"/>
    <col min="9229" max="9229" width="21.42578125" style="798" customWidth="1"/>
    <col min="9230" max="9232" width="20.7109375" style="798" customWidth="1"/>
    <col min="9233" max="9233" width="32.28515625" style="798" bestFit="1" customWidth="1"/>
    <col min="9234" max="9234" width="20.7109375" style="798" customWidth="1"/>
    <col min="9235" max="9235" width="22" style="798" customWidth="1"/>
    <col min="9236" max="9239" width="21.28515625" style="798" customWidth="1"/>
    <col min="9240" max="9240" width="22.28515625" style="798" customWidth="1"/>
    <col min="9241" max="9242" width="11.42578125" style="798"/>
    <col min="9243" max="9243" width="14.85546875" style="798" bestFit="1" customWidth="1"/>
    <col min="9244" max="9468" width="11.42578125" style="798"/>
    <col min="9469" max="9469" width="34.42578125" style="798" customWidth="1"/>
    <col min="9470" max="9471" width="19.42578125" style="798" bestFit="1" customWidth="1"/>
    <col min="9472" max="9472" width="19.7109375" style="798" customWidth="1"/>
    <col min="9473" max="9474" width="20.42578125" style="798" customWidth="1"/>
    <col min="9475" max="9476" width="19.7109375" style="798" customWidth="1"/>
    <col min="9477" max="9477" width="25.28515625" style="798" customWidth="1"/>
    <col min="9478" max="9478" width="26" style="798" customWidth="1"/>
    <col min="9479" max="9479" width="22.28515625" style="798" customWidth="1"/>
    <col min="9480" max="9480" width="24.85546875" style="798" customWidth="1"/>
    <col min="9481" max="9481" width="21.140625" style="798" customWidth="1"/>
    <col min="9482" max="9482" width="21.42578125" style="798" customWidth="1"/>
    <col min="9483" max="9483" width="27.85546875" style="798" customWidth="1"/>
    <col min="9484" max="9484" width="23.42578125" style="798" customWidth="1"/>
    <col min="9485" max="9485" width="21.42578125" style="798" customWidth="1"/>
    <col min="9486" max="9488" width="20.7109375" style="798" customWidth="1"/>
    <col min="9489" max="9489" width="32.28515625" style="798" bestFit="1" customWidth="1"/>
    <col min="9490" max="9490" width="20.7109375" style="798" customWidth="1"/>
    <col min="9491" max="9491" width="22" style="798" customWidth="1"/>
    <col min="9492" max="9495" width="21.28515625" style="798" customWidth="1"/>
    <col min="9496" max="9496" width="22.28515625" style="798" customWidth="1"/>
    <col min="9497" max="9498" width="11.42578125" style="798"/>
    <col min="9499" max="9499" width="14.85546875" style="798" bestFit="1" customWidth="1"/>
    <col min="9500" max="9724" width="11.42578125" style="798"/>
    <col min="9725" max="9725" width="34.42578125" style="798" customWidth="1"/>
    <col min="9726" max="9727" width="19.42578125" style="798" bestFit="1" customWidth="1"/>
    <col min="9728" max="9728" width="19.7109375" style="798" customWidth="1"/>
    <col min="9729" max="9730" width="20.42578125" style="798" customWidth="1"/>
    <col min="9731" max="9732" width="19.7109375" style="798" customWidth="1"/>
    <col min="9733" max="9733" width="25.28515625" style="798" customWidth="1"/>
    <col min="9734" max="9734" width="26" style="798" customWidth="1"/>
    <col min="9735" max="9735" width="22.28515625" style="798" customWidth="1"/>
    <col min="9736" max="9736" width="24.85546875" style="798" customWidth="1"/>
    <col min="9737" max="9737" width="21.140625" style="798" customWidth="1"/>
    <col min="9738" max="9738" width="21.42578125" style="798" customWidth="1"/>
    <col min="9739" max="9739" width="27.85546875" style="798" customWidth="1"/>
    <col min="9740" max="9740" width="23.42578125" style="798" customWidth="1"/>
    <col min="9741" max="9741" width="21.42578125" style="798" customWidth="1"/>
    <col min="9742" max="9744" width="20.7109375" style="798" customWidth="1"/>
    <col min="9745" max="9745" width="32.28515625" style="798" bestFit="1" customWidth="1"/>
    <col min="9746" max="9746" width="20.7109375" style="798" customWidth="1"/>
    <col min="9747" max="9747" width="22" style="798" customWidth="1"/>
    <col min="9748" max="9751" width="21.28515625" style="798" customWidth="1"/>
    <col min="9752" max="9752" width="22.28515625" style="798" customWidth="1"/>
    <col min="9753" max="9754" width="11.42578125" style="798"/>
    <col min="9755" max="9755" width="14.85546875" style="798" bestFit="1" customWidth="1"/>
    <col min="9756" max="9980" width="11.42578125" style="798"/>
    <col min="9981" max="9981" width="34.42578125" style="798" customWidth="1"/>
    <col min="9982" max="9983" width="19.42578125" style="798" bestFit="1" customWidth="1"/>
    <col min="9984" max="9984" width="19.7109375" style="798" customWidth="1"/>
    <col min="9985" max="9986" width="20.42578125" style="798" customWidth="1"/>
    <col min="9987" max="9988" width="19.7109375" style="798" customWidth="1"/>
    <col min="9989" max="9989" width="25.28515625" style="798" customWidth="1"/>
    <col min="9990" max="9990" width="26" style="798" customWidth="1"/>
    <col min="9991" max="9991" width="22.28515625" style="798" customWidth="1"/>
    <col min="9992" max="9992" width="24.85546875" style="798" customWidth="1"/>
    <col min="9993" max="9993" width="21.140625" style="798" customWidth="1"/>
    <col min="9994" max="9994" width="21.42578125" style="798" customWidth="1"/>
    <col min="9995" max="9995" width="27.85546875" style="798" customWidth="1"/>
    <col min="9996" max="9996" width="23.42578125" style="798" customWidth="1"/>
    <col min="9997" max="9997" width="21.42578125" style="798" customWidth="1"/>
    <col min="9998" max="10000" width="20.7109375" style="798" customWidth="1"/>
    <col min="10001" max="10001" width="32.28515625" style="798" bestFit="1" customWidth="1"/>
    <col min="10002" max="10002" width="20.7109375" style="798" customWidth="1"/>
    <col min="10003" max="10003" width="22" style="798" customWidth="1"/>
    <col min="10004" max="10007" width="21.28515625" style="798" customWidth="1"/>
    <col min="10008" max="10008" width="22.28515625" style="798" customWidth="1"/>
    <col min="10009" max="10010" width="11.42578125" style="798"/>
    <col min="10011" max="10011" width="14.85546875" style="798" bestFit="1" customWidth="1"/>
    <col min="10012" max="10236" width="11.42578125" style="798"/>
    <col min="10237" max="10237" width="34.42578125" style="798" customWidth="1"/>
    <col min="10238" max="10239" width="19.42578125" style="798" bestFit="1" customWidth="1"/>
    <col min="10240" max="10240" width="19.7109375" style="798" customWidth="1"/>
    <col min="10241" max="10242" width="20.42578125" style="798" customWidth="1"/>
    <col min="10243" max="10244" width="19.7109375" style="798" customWidth="1"/>
    <col min="10245" max="10245" width="25.28515625" style="798" customWidth="1"/>
    <col min="10246" max="10246" width="26" style="798" customWidth="1"/>
    <col min="10247" max="10247" width="22.28515625" style="798" customWidth="1"/>
    <col min="10248" max="10248" width="24.85546875" style="798" customWidth="1"/>
    <col min="10249" max="10249" width="21.140625" style="798" customWidth="1"/>
    <col min="10250" max="10250" width="21.42578125" style="798" customWidth="1"/>
    <col min="10251" max="10251" width="27.85546875" style="798" customWidth="1"/>
    <col min="10252" max="10252" width="23.42578125" style="798" customWidth="1"/>
    <col min="10253" max="10253" width="21.42578125" style="798" customWidth="1"/>
    <col min="10254" max="10256" width="20.7109375" style="798" customWidth="1"/>
    <col min="10257" max="10257" width="32.28515625" style="798" bestFit="1" customWidth="1"/>
    <col min="10258" max="10258" width="20.7109375" style="798" customWidth="1"/>
    <col min="10259" max="10259" width="22" style="798" customWidth="1"/>
    <col min="10260" max="10263" width="21.28515625" style="798" customWidth="1"/>
    <col min="10264" max="10264" width="22.28515625" style="798" customWidth="1"/>
    <col min="10265" max="10266" width="11.42578125" style="798"/>
    <col min="10267" max="10267" width="14.85546875" style="798" bestFit="1" customWidth="1"/>
    <col min="10268" max="10492" width="11.42578125" style="798"/>
    <col min="10493" max="10493" width="34.42578125" style="798" customWidth="1"/>
    <col min="10494" max="10495" width="19.42578125" style="798" bestFit="1" customWidth="1"/>
    <col min="10496" max="10496" width="19.7109375" style="798" customWidth="1"/>
    <col min="10497" max="10498" width="20.42578125" style="798" customWidth="1"/>
    <col min="10499" max="10500" width="19.7109375" style="798" customWidth="1"/>
    <col min="10501" max="10501" width="25.28515625" style="798" customWidth="1"/>
    <col min="10502" max="10502" width="26" style="798" customWidth="1"/>
    <col min="10503" max="10503" width="22.28515625" style="798" customWidth="1"/>
    <col min="10504" max="10504" width="24.85546875" style="798" customWidth="1"/>
    <col min="10505" max="10505" width="21.140625" style="798" customWidth="1"/>
    <col min="10506" max="10506" width="21.42578125" style="798" customWidth="1"/>
    <col min="10507" max="10507" width="27.85546875" style="798" customWidth="1"/>
    <col min="10508" max="10508" width="23.42578125" style="798" customWidth="1"/>
    <col min="10509" max="10509" width="21.42578125" style="798" customWidth="1"/>
    <col min="10510" max="10512" width="20.7109375" style="798" customWidth="1"/>
    <col min="10513" max="10513" width="32.28515625" style="798" bestFit="1" customWidth="1"/>
    <col min="10514" max="10514" width="20.7109375" style="798" customWidth="1"/>
    <col min="10515" max="10515" width="22" style="798" customWidth="1"/>
    <col min="10516" max="10519" width="21.28515625" style="798" customWidth="1"/>
    <col min="10520" max="10520" width="22.28515625" style="798" customWidth="1"/>
    <col min="10521" max="10522" width="11.42578125" style="798"/>
    <col min="10523" max="10523" width="14.85546875" style="798" bestFit="1" customWidth="1"/>
    <col min="10524" max="10748" width="11.42578125" style="798"/>
    <col min="10749" max="10749" width="34.42578125" style="798" customWidth="1"/>
    <col min="10750" max="10751" width="19.42578125" style="798" bestFit="1" customWidth="1"/>
    <col min="10752" max="10752" width="19.7109375" style="798" customWidth="1"/>
    <col min="10753" max="10754" width="20.42578125" style="798" customWidth="1"/>
    <col min="10755" max="10756" width="19.7109375" style="798" customWidth="1"/>
    <col min="10757" max="10757" width="25.28515625" style="798" customWidth="1"/>
    <col min="10758" max="10758" width="26" style="798" customWidth="1"/>
    <col min="10759" max="10759" width="22.28515625" style="798" customWidth="1"/>
    <col min="10760" max="10760" width="24.85546875" style="798" customWidth="1"/>
    <col min="10761" max="10761" width="21.140625" style="798" customWidth="1"/>
    <col min="10762" max="10762" width="21.42578125" style="798" customWidth="1"/>
    <col min="10763" max="10763" width="27.85546875" style="798" customWidth="1"/>
    <col min="10764" max="10764" width="23.42578125" style="798" customWidth="1"/>
    <col min="10765" max="10765" width="21.42578125" style="798" customWidth="1"/>
    <col min="10766" max="10768" width="20.7109375" style="798" customWidth="1"/>
    <col min="10769" max="10769" width="32.28515625" style="798" bestFit="1" customWidth="1"/>
    <col min="10770" max="10770" width="20.7109375" style="798" customWidth="1"/>
    <col min="10771" max="10771" width="22" style="798" customWidth="1"/>
    <col min="10772" max="10775" width="21.28515625" style="798" customWidth="1"/>
    <col min="10776" max="10776" width="22.28515625" style="798" customWidth="1"/>
    <col min="10777" max="10778" width="11.42578125" style="798"/>
    <col min="10779" max="10779" width="14.85546875" style="798" bestFit="1" customWidth="1"/>
    <col min="10780" max="11004" width="11.42578125" style="798"/>
    <col min="11005" max="11005" width="34.42578125" style="798" customWidth="1"/>
    <col min="11006" max="11007" width="19.42578125" style="798" bestFit="1" customWidth="1"/>
    <col min="11008" max="11008" width="19.7109375" style="798" customWidth="1"/>
    <col min="11009" max="11010" width="20.42578125" style="798" customWidth="1"/>
    <col min="11011" max="11012" width="19.7109375" style="798" customWidth="1"/>
    <col min="11013" max="11013" width="25.28515625" style="798" customWidth="1"/>
    <col min="11014" max="11014" width="26" style="798" customWidth="1"/>
    <col min="11015" max="11015" width="22.28515625" style="798" customWidth="1"/>
    <col min="11016" max="11016" width="24.85546875" style="798" customWidth="1"/>
    <col min="11017" max="11017" width="21.140625" style="798" customWidth="1"/>
    <col min="11018" max="11018" width="21.42578125" style="798" customWidth="1"/>
    <col min="11019" max="11019" width="27.85546875" style="798" customWidth="1"/>
    <col min="11020" max="11020" width="23.42578125" style="798" customWidth="1"/>
    <col min="11021" max="11021" width="21.42578125" style="798" customWidth="1"/>
    <col min="11022" max="11024" width="20.7109375" style="798" customWidth="1"/>
    <col min="11025" max="11025" width="32.28515625" style="798" bestFit="1" customWidth="1"/>
    <col min="11026" max="11026" width="20.7109375" style="798" customWidth="1"/>
    <col min="11027" max="11027" width="22" style="798" customWidth="1"/>
    <col min="11028" max="11031" width="21.28515625" style="798" customWidth="1"/>
    <col min="11032" max="11032" width="22.28515625" style="798" customWidth="1"/>
    <col min="11033" max="11034" width="11.42578125" style="798"/>
    <col min="11035" max="11035" width="14.85546875" style="798" bestFit="1" customWidth="1"/>
    <col min="11036" max="11260" width="11.42578125" style="798"/>
    <col min="11261" max="11261" width="34.42578125" style="798" customWidth="1"/>
    <col min="11262" max="11263" width="19.42578125" style="798" bestFit="1" customWidth="1"/>
    <col min="11264" max="11264" width="19.7109375" style="798" customWidth="1"/>
    <col min="11265" max="11266" width="20.42578125" style="798" customWidth="1"/>
    <col min="11267" max="11268" width="19.7109375" style="798" customWidth="1"/>
    <col min="11269" max="11269" width="25.28515625" style="798" customWidth="1"/>
    <col min="11270" max="11270" width="26" style="798" customWidth="1"/>
    <col min="11271" max="11271" width="22.28515625" style="798" customWidth="1"/>
    <col min="11272" max="11272" width="24.85546875" style="798" customWidth="1"/>
    <col min="11273" max="11273" width="21.140625" style="798" customWidth="1"/>
    <col min="11274" max="11274" width="21.42578125" style="798" customWidth="1"/>
    <col min="11275" max="11275" width="27.85546875" style="798" customWidth="1"/>
    <col min="11276" max="11276" width="23.42578125" style="798" customWidth="1"/>
    <col min="11277" max="11277" width="21.42578125" style="798" customWidth="1"/>
    <col min="11278" max="11280" width="20.7109375" style="798" customWidth="1"/>
    <col min="11281" max="11281" width="32.28515625" style="798" bestFit="1" customWidth="1"/>
    <col min="11282" max="11282" width="20.7109375" style="798" customWidth="1"/>
    <col min="11283" max="11283" width="22" style="798" customWidth="1"/>
    <col min="11284" max="11287" width="21.28515625" style="798" customWidth="1"/>
    <col min="11288" max="11288" width="22.28515625" style="798" customWidth="1"/>
    <col min="11289" max="11290" width="11.42578125" style="798"/>
    <col min="11291" max="11291" width="14.85546875" style="798" bestFit="1" customWidth="1"/>
    <col min="11292" max="11516" width="11.42578125" style="798"/>
    <col min="11517" max="11517" width="34.42578125" style="798" customWidth="1"/>
    <col min="11518" max="11519" width="19.42578125" style="798" bestFit="1" customWidth="1"/>
    <col min="11520" max="11520" width="19.7109375" style="798" customWidth="1"/>
    <col min="11521" max="11522" width="20.42578125" style="798" customWidth="1"/>
    <col min="11523" max="11524" width="19.7109375" style="798" customWidth="1"/>
    <col min="11525" max="11525" width="25.28515625" style="798" customWidth="1"/>
    <col min="11526" max="11526" width="26" style="798" customWidth="1"/>
    <col min="11527" max="11527" width="22.28515625" style="798" customWidth="1"/>
    <col min="11528" max="11528" width="24.85546875" style="798" customWidth="1"/>
    <col min="11529" max="11529" width="21.140625" style="798" customWidth="1"/>
    <col min="11530" max="11530" width="21.42578125" style="798" customWidth="1"/>
    <col min="11531" max="11531" width="27.85546875" style="798" customWidth="1"/>
    <col min="11532" max="11532" width="23.42578125" style="798" customWidth="1"/>
    <col min="11533" max="11533" width="21.42578125" style="798" customWidth="1"/>
    <col min="11534" max="11536" width="20.7109375" style="798" customWidth="1"/>
    <col min="11537" max="11537" width="32.28515625" style="798" bestFit="1" customWidth="1"/>
    <col min="11538" max="11538" width="20.7109375" style="798" customWidth="1"/>
    <col min="11539" max="11539" width="22" style="798" customWidth="1"/>
    <col min="11540" max="11543" width="21.28515625" style="798" customWidth="1"/>
    <col min="11544" max="11544" width="22.28515625" style="798" customWidth="1"/>
    <col min="11545" max="11546" width="11.42578125" style="798"/>
    <col min="11547" max="11547" width="14.85546875" style="798" bestFit="1" customWidth="1"/>
    <col min="11548" max="11772" width="11.42578125" style="798"/>
    <col min="11773" max="11773" width="34.42578125" style="798" customWidth="1"/>
    <col min="11774" max="11775" width="19.42578125" style="798" bestFit="1" customWidth="1"/>
    <col min="11776" max="11776" width="19.7109375" style="798" customWidth="1"/>
    <col min="11777" max="11778" width="20.42578125" style="798" customWidth="1"/>
    <col min="11779" max="11780" width="19.7109375" style="798" customWidth="1"/>
    <col min="11781" max="11781" width="25.28515625" style="798" customWidth="1"/>
    <col min="11782" max="11782" width="26" style="798" customWidth="1"/>
    <col min="11783" max="11783" width="22.28515625" style="798" customWidth="1"/>
    <col min="11784" max="11784" width="24.85546875" style="798" customWidth="1"/>
    <col min="11785" max="11785" width="21.140625" style="798" customWidth="1"/>
    <col min="11786" max="11786" width="21.42578125" style="798" customWidth="1"/>
    <col min="11787" max="11787" width="27.85546875" style="798" customWidth="1"/>
    <col min="11788" max="11788" width="23.42578125" style="798" customWidth="1"/>
    <col min="11789" max="11789" width="21.42578125" style="798" customWidth="1"/>
    <col min="11790" max="11792" width="20.7109375" style="798" customWidth="1"/>
    <col min="11793" max="11793" width="32.28515625" style="798" bestFit="1" customWidth="1"/>
    <col min="11794" max="11794" width="20.7109375" style="798" customWidth="1"/>
    <col min="11795" max="11795" width="22" style="798" customWidth="1"/>
    <col min="11796" max="11799" width="21.28515625" style="798" customWidth="1"/>
    <col min="11800" max="11800" width="22.28515625" style="798" customWidth="1"/>
    <col min="11801" max="11802" width="11.42578125" style="798"/>
    <col min="11803" max="11803" width="14.85546875" style="798" bestFit="1" customWidth="1"/>
    <col min="11804" max="12028" width="11.42578125" style="798"/>
    <col min="12029" max="12029" width="34.42578125" style="798" customWidth="1"/>
    <col min="12030" max="12031" width="19.42578125" style="798" bestFit="1" customWidth="1"/>
    <col min="12032" max="12032" width="19.7109375" style="798" customWidth="1"/>
    <col min="12033" max="12034" width="20.42578125" style="798" customWidth="1"/>
    <col min="12035" max="12036" width="19.7109375" style="798" customWidth="1"/>
    <col min="12037" max="12037" width="25.28515625" style="798" customWidth="1"/>
    <col min="12038" max="12038" width="26" style="798" customWidth="1"/>
    <col min="12039" max="12039" width="22.28515625" style="798" customWidth="1"/>
    <col min="12040" max="12040" width="24.85546875" style="798" customWidth="1"/>
    <col min="12041" max="12041" width="21.140625" style="798" customWidth="1"/>
    <col min="12042" max="12042" width="21.42578125" style="798" customWidth="1"/>
    <col min="12043" max="12043" width="27.85546875" style="798" customWidth="1"/>
    <col min="12044" max="12044" width="23.42578125" style="798" customWidth="1"/>
    <col min="12045" max="12045" width="21.42578125" style="798" customWidth="1"/>
    <col min="12046" max="12048" width="20.7109375" style="798" customWidth="1"/>
    <col min="12049" max="12049" width="32.28515625" style="798" bestFit="1" customWidth="1"/>
    <col min="12050" max="12050" width="20.7109375" style="798" customWidth="1"/>
    <col min="12051" max="12051" width="22" style="798" customWidth="1"/>
    <col min="12052" max="12055" width="21.28515625" style="798" customWidth="1"/>
    <col min="12056" max="12056" width="22.28515625" style="798" customWidth="1"/>
    <col min="12057" max="12058" width="11.42578125" style="798"/>
    <col min="12059" max="12059" width="14.85546875" style="798" bestFit="1" customWidth="1"/>
    <col min="12060" max="12284" width="11.42578125" style="798"/>
    <col min="12285" max="12285" width="34.42578125" style="798" customWidth="1"/>
    <col min="12286" max="12287" width="19.42578125" style="798" bestFit="1" customWidth="1"/>
    <col min="12288" max="12288" width="19.7109375" style="798" customWidth="1"/>
    <col min="12289" max="12290" width="20.42578125" style="798" customWidth="1"/>
    <col min="12291" max="12292" width="19.7109375" style="798" customWidth="1"/>
    <col min="12293" max="12293" width="25.28515625" style="798" customWidth="1"/>
    <col min="12294" max="12294" width="26" style="798" customWidth="1"/>
    <col min="12295" max="12295" width="22.28515625" style="798" customWidth="1"/>
    <col min="12296" max="12296" width="24.85546875" style="798" customWidth="1"/>
    <col min="12297" max="12297" width="21.140625" style="798" customWidth="1"/>
    <col min="12298" max="12298" width="21.42578125" style="798" customWidth="1"/>
    <col min="12299" max="12299" width="27.85546875" style="798" customWidth="1"/>
    <col min="12300" max="12300" width="23.42578125" style="798" customWidth="1"/>
    <col min="12301" max="12301" width="21.42578125" style="798" customWidth="1"/>
    <col min="12302" max="12304" width="20.7109375" style="798" customWidth="1"/>
    <col min="12305" max="12305" width="32.28515625" style="798" bestFit="1" customWidth="1"/>
    <col min="12306" max="12306" width="20.7109375" style="798" customWidth="1"/>
    <col min="12307" max="12307" width="22" style="798" customWidth="1"/>
    <col min="12308" max="12311" width="21.28515625" style="798" customWidth="1"/>
    <col min="12312" max="12312" width="22.28515625" style="798" customWidth="1"/>
    <col min="12313" max="12314" width="11.42578125" style="798"/>
    <col min="12315" max="12315" width="14.85546875" style="798" bestFit="1" customWidth="1"/>
    <col min="12316" max="12540" width="11.42578125" style="798"/>
    <col min="12541" max="12541" width="34.42578125" style="798" customWidth="1"/>
    <col min="12542" max="12543" width="19.42578125" style="798" bestFit="1" customWidth="1"/>
    <col min="12544" max="12544" width="19.7109375" style="798" customWidth="1"/>
    <col min="12545" max="12546" width="20.42578125" style="798" customWidth="1"/>
    <col min="12547" max="12548" width="19.7109375" style="798" customWidth="1"/>
    <col min="12549" max="12549" width="25.28515625" style="798" customWidth="1"/>
    <col min="12550" max="12550" width="26" style="798" customWidth="1"/>
    <col min="12551" max="12551" width="22.28515625" style="798" customWidth="1"/>
    <col min="12552" max="12552" width="24.85546875" style="798" customWidth="1"/>
    <col min="12553" max="12553" width="21.140625" style="798" customWidth="1"/>
    <col min="12554" max="12554" width="21.42578125" style="798" customWidth="1"/>
    <col min="12555" max="12555" width="27.85546875" style="798" customWidth="1"/>
    <col min="12556" max="12556" width="23.42578125" style="798" customWidth="1"/>
    <col min="12557" max="12557" width="21.42578125" style="798" customWidth="1"/>
    <col min="12558" max="12560" width="20.7109375" style="798" customWidth="1"/>
    <col min="12561" max="12561" width="32.28515625" style="798" bestFit="1" customWidth="1"/>
    <col min="12562" max="12562" width="20.7109375" style="798" customWidth="1"/>
    <col min="12563" max="12563" width="22" style="798" customWidth="1"/>
    <col min="12564" max="12567" width="21.28515625" style="798" customWidth="1"/>
    <col min="12568" max="12568" width="22.28515625" style="798" customWidth="1"/>
    <col min="12569" max="12570" width="11.42578125" style="798"/>
    <col min="12571" max="12571" width="14.85546875" style="798" bestFit="1" customWidth="1"/>
    <col min="12572" max="12796" width="11.42578125" style="798"/>
    <col min="12797" max="12797" width="34.42578125" style="798" customWidth="1"/>
    <col min="12798" max="12799" width="19.42578125" style="798" bestFit="1" customWidth="1"/>
    <col min="12800" max="12800" width="19.7109375" style="798" customWidth="1"/>
    <col min="12801" max="12802" width="20.42578125" style="798" customWidth="1"/>
    <col min="12803" max="12804" width="19.7109375" style="798" customWidth="1"/>
    <col min="12805" max="12805" width="25.28515625" style="798" customWidth="1"/>
    <col min="12806" max="12806" width="26" style="798" customWidth="1"/>
    <col min="12807" max="12807" width="22.28515625" style="798" customWidth="1"/>
    <col min="12808" max="12808" width="24.85546875" style="798" customWidth="1"/>
    <col min="12809" max="12809" width="21.140625" style="798" customWidth="1"/>
    <col min="12810" max="12810" width="21.42578125" style="798" customWidth="1"/>
    <col min="12811" max="12811" width="27.85546875" style="798" customWidth="1"/>
    <col min="12812" max="12812" width="23.42578125" style="798" customWidth="1"/>
    <col min="12813" max="12813" width="21.42578125" style="798" customWidth="1"/>
    <col min="12814" max="12816" width="20.7109375" style="798" customWidth="1"/>
    <col min="12817" max="12817" width="32.28515625" style="798" bestFit="1" customWidth="1"/>
    <col min="12818" max="12818" width="20.7109375" style="798" customWidth="1"/>
    <col min="12819" max="12819" width="22" style="798" customWidth="1"/>
    <col min="12820" max="12823" width="21.28515625" style="798" customWidth="1"/>
    <col min="12824" max="12824" width="22.28515625" style="798" customWidth="1"/>
    <col min="12825" max="12826" width="11.42578125" style="798"/>
    <col min="12827" max="12827" width="14.85546875" style="798" bestFit="1" customWidth="1"/>
    <col min="12828" max="13052" width="11.42578125" style="798"/>
    <col min="13053" max="13053" width="34.42578125" style="798" customWidth="1"/>
    <col min="13054" max="13055" width="19.42578125" style="798" bestFit="1" customWidth="1"/>
    <col min="13056" max="13056" width="19.7109375" style="798" customWidth="1"/>
    <col min="13057" max="13058" width="20.42578125" style="798" customWidth="1"/>
    <col min="13059" max="13060" width="19.7109375" style="798" customWidth="1"/>
    <col min="13061" max="13061" width="25.28515625" style="798" customWidth="1"/>
    <col min="13062" max="13062" width="26" style="798" customWidth="1"/>
    <col min="13063" max="13063" width="22.28515625" style="798" customWidth="1"/>
    <col min="13064" max="13064" width="24.85546875" style="798" customWidth="1"/>
    <col min="13065" max="13065" width="21.140625" style="798" customWidth="1"/>
    <col min="13066" max="13066" width="21.42578125" style="798" customWidth="1"/>
    <col min="13067" max="13067" width="27.85546875" style="798" customWidth="1"/>
    <col min="13068" max="13068" width="23.42578125" style="798" customWidth="1"/>
    <col min="13069" max="13069" width="21.42578125" style="798" customWidth="1"/>
    <col min="13070" max="13072" width="20.7109375" style="798" customWidth="1"/>
    <col min="13073" max="13073" width="32.28515625" style="798" bestFit="1" customWidth="1"/>
    <col min="13074" max="13074" width="20.7109375" style="798" customWidth="1"/>
    <col min="13075" max="13075" width="22" style="798" customWidth="1"/>
    <col min="13076" max="13079" width="21.28515625" style="798" customWidth="1"/>
    <col min="13080" max="13080" width="22.28515625" style="798" customWidth="1"/>
    <col min="13081" max="13082" width="11.42578125" style="798"/>
    <col min="13083" max="13083" width="14.85546875" style="798" bestFit="1" customWidth="1"/>
    <col min="13084" max="13308" width="11.42578125" style="798"/>
    <col min="13309" max="13309" width="34.42578125" style="798" customWidth="1"/>
    <col min="13310" max="13311" width="19.42578125" style="798" bestFit="1" customWidth="1"/>
    <col min="13312" max="13312" width="19.7109375" style="798" customWidth="1"/>
    <col min="13313" max="13314" width="20.42578125" style="798" customWidth="1"/>
    <col min="13315" max="13316" width="19.7109375" style="798" customWidth="1"/>
    <col min="13317" max="13317" width="25.28515625" style="798" customWidth="1"/>
    <col min="13318" max="13318" width="26" style="798" customWidth="1"/>
    <col min="13319" max="13319" width="22.28515625" style="798" customWidth="1"/>
    <col min="13320" max="13320" width="24.85546875" style="798" customWidth="1"/>
    <col min="13321" max="13321" width="21.140625" style="798" customWidth="1"/>
    <col min="13322" max="13322" width="21.42578125" style="798" customWidth="1"/>
    <col min="13323" max="13323" width="27.85546875" style="798" customWidth="1"/>
    <col min="13324" max="13324" width="23.42578125" style="798" customWidth="1"/>
    <col min="13325" max="13325" width="21.42578125" style="798" customWidth="1"/>
    <col min="13326" max="13328" width="20.7109375" style="798" customWidth="1"/>
    <col min="13329" max="13329" width="32.28515625" style="798" bestFit="1" customWidth="1"/>
    <col min="13330" max="13330" width="20.7109375" style="798" customWidth="1"/>
    <col min="13331" max="13331" width="22" style="798" customWidth="1"/>
    <col min="13332" max="13335" width="21.28515625" style="798" customWidth="1"/>
    <col min="13336" max="13336" width="22.28515625" style="798" customWidth="1"/>
    <col min="13337" max="13338" width="11.42578125" style="798"/>
    <col min="13339" max="13339" width="14.85546875" style="798" bestFit="1" customWidth="1"/>
    <col min="13340" max="13564" width="11.42578125" style="798"/>
    <col min="13565" max="13565" width="34.42578125" style="798" customWidth="1"/>
    <col min="13566" max="13567" width="19.42578125" style="798" bestFit="1" customWidth="1"/>
    <col min="13568" max="13568" width="19.7109375" style="798" customWidth="1"/>
    <col min="13569" max="13570" width="20.42578125" style="798" customWidth="1"/>
    <col min="13571" max="13572" width="19.7109375" style="798" customWidth="1"/>
    <col min="13573" max="13573" width="25.28515625" style="798" customWidth="1"/>
    <col min="13574" max="13574" width="26" style="798" customWidth="1"/>
    <col min="13575" max="13575" width="22.28515625" style="798" customWidth="1"/>
    <col min="13576" max="13576" width="24.85546875" style="798" customWidth="1"/>
    <col min="13577" max="13577" width="21.140625" style="798" customWidth="1"/>
    <col min="13578" max="13578" width="21.42578125" style="798" customWidth="1"/>
    <col min="13579" max="13579" width="27.85546875" style="798" customWidth="1"/>
    <col min="13580" max="13580" width="23.42578125" style="798" customWidth="1"/>
    <col min="13581" max="13581" width="21.42578125" style="798" customWidth="1"/>
    <col min="13582" max="13584" width="20.7109375" style="798" customWidth="1"/>
    <col min="13585" max="13585" width="32.28515625" style="798" bestFit="1" customWidth="1"/>
    <col min="13586" max="13586" width="20.7109375" style="798" customWidth="1"/>
    <col min="13587" max="13587" width="22" style="798" customWidth="1"/>
    <col min="13588" max="13591" width="21.28515625" style="798" customWidth="1"/>
    <col min="13592" max="13592" width="22.28515625" style="798" customWidth="1"/>
    <col min="13593" max="13594" width="11.42578125" style="798"/>
    <col min="13595" max="13595" width="14.85546875" style="798" bestFit="1" customWidth="1"/>
    <col min="13596" max="13820" width="11.42578125" style="798"/>
    <col min="13821" max="13821" width="34.42578125" style="798" customWidth="1"/>
    <col min="13822" max="13823" width="19.42578125" style="798" bestFit="1" customWidth="1"/>
    <col min="13824" max="13824" width="19.7109375" style="798" customWidth="1"/>
    <col min="13825" max="13826" width="20.42578125" style="798" customWidth="1"/>
    <col min="13827" max="13828" width="19.7109375" style="798" customWidth="1"/>
    <col min="13829" max="13829" width="25.28515625" style="798" customWidth="1"/>
    <col min="13830" max="13830" width="26" style="798" customWidth="1"/>
    <col min="13831" max="13831" width="22.28515625" style="798" customWidth="1"/>
    <col min="13832" max="13832" width="24.85546875" style="798" customWidth="1"/>
    <col min="13833" max="13833" width="21.140625" style="798" customWidth="1"/>
    <col min="13834" max="13834" width="21.42578125" style="798" customWidth="1"/>
    <col min="13835" max="13835" width="27.85546875" style="798" customWidth="1"/>
    <col min="13836" max="13836" width="23.42578125" style="798" customWidth="1"/>
    <col min="13837" max="13837" width="21.42578125" style="798" customWidth="1"/>
    <col min="13838" max="13840" width="20.7109375" style="798" customWidth="1"/>
    <col min="13841" max="13841" width="32.28515625" style="798" bestFit="1" customWidth="1"/>
    <col min="13842" max="13842" width="20.7109375" style="798" customWidth="1"/>
    <col min="13843" max="13843" width="22" style="798" customWidth="1"/>
    <col min="13844" max="13847" width="21.28515625" style="798" customWidth="1"/>
    <col min="13848" max="13848" width="22.28515625" style="798" customWidth="1"/>
    <col min="13849" max="13850" width="11.42578125" style="798"/>
    <col min="13851" max="13851" width="14.85546875" style="798" bestFit="1" customWidth="1"/>
    <col min="13852" max="14076" width="11.42578125" style="798"/>
    <col min="14077" max="14077" width="34.42578125" style="798" customWidth="1"/>
    <col min="14078" max="14079" width="19.42578125" style="798" bestFit="1" customWidth="1"/>
    <col min="14080" max="14080" width="19.7109375" style="798" customWidth="1"/>
    <col min="14081" max="14082" width="20.42578125" style="798" customWidth="1"/>
    <col min="14083" max="14084" width="19.7109375" style="798" customWidth="1"/>
    <col min="14085" max="14085" width="25.28515625" style="798" customWidth="1"/>
    <col min="14086" max="14086" width="26" style="798" customWidth="1"/>
    <col min="14087" max="14087" width="22.28515625" style="798" customWidth="1"/>
    <col min="14088" max="14088" width="24.85546875" style="798" customWidth="1"/>
    <col min="14089" max="14089" width="21.140625" style="798" customWidth="1"/>
    <col min="14090" max="14090" width="21.42578125" style="798" customWidth="1"/>
    <col min="14091" max="14091" width="27.85546875" style="798" customWidth="1"/>
    <col min="14092" max="14092" width="23.42578125" style="798" customWidth="1"/>
    <col min="14093" max="14093" width="21.42578125" style="798" customWidth="1"/>
    <col min="14094" max="14096" width="20.7109375" style="798" customWidth="1"/>
    <col min="14097" max="14097" width="32.28515625" style="798" bestFit="1" customWidth="1"/>
    <col min="14098" max="14098" width="20.7109375" style="798" customWidth="1"/>
    <col min="14099" max="14099" width="22" style="798" customWidth="1"/>
    <col min="14100" max="14103" width="21.28515625" style="798" customWidth="1"/>
    <col min="14104" max="14104" width="22.28515625" style="798" customWidth="1"/>
    <col min="14105" max="14106" width="11.42578125" style="798"/>
    <col min="14107" max="14107" width="14.85546875" style="798" bestFit="1" customWidth="1"/>
    <col min="14108" max="14332" width="11.42578125" style="798"/>
    <col min="14333" max="14333" width="34.42578125" style="798" customWidth="1"/>
    <col min="14334" max="14335" width="19.42578125" style="798" bestFit="1" customWidth="1"/>
    <col min="14336" max="14336" width="19.7109375" style="798" customWidth="1"/>
    <col min="14337" max="14338" width="20.42578125" style="798" customWidth="1"/>
    <col min="14339" max="14340" width="19.7109375" style="798" customWidth="1"/>
    <col min="14341" max="14341" width="25.28515625" style="798" customWidth="1"/>
    <col min="14342" max="14342" width="26" style="798" customWidth="1"/>
    <col min="14343" max="14343" width="22.28515625" style="798" customWidth="1"/>
    <col min="14344" max="14344" width="24.85546875" style="798" customWidth="1"/>
    <col min="14345" max="14345" width="21.140625" style="798" customWidth="1"/>
    <col min="14346" max="14346" width="21.42578125" style="798" customWidth="1"/>
    <col min="14347" max="14347" width="27.85546875" style="798" customWidth="1"/>
    <col min="14348" max="14348" width="23.42578125" style="798" customWidth="1"/>
    <col min="14349" max="14349" width="21.42578125" style="798" customWidth="1"/>
    <col min="14350" max="14352" width="20.7109375" style="798" customWidth="1"/>
    <col min="14353" max="14353" width="32.28515625" style="798" bestFit="1" customWidth="1"/>
    <col min="14354" max="14354" width="20.7109375" style="798" customWidth="1"/>
    <col min="14355" max="14355" width="22" style="798" customWidth="1"/>
    <col min="14356" max="14359" width="21.28515625" style="798" customWidth="1"/>
    <col min="14360" max="14360" width="22.28515625" style="798" customWidth="1"/>
    <col min="14361" max="14362" width="11.42578125" style="798"/>
    <col min="14363" max="14363" width="14.85546875" style="798" bestFit="1" customWidth="1"/>
    <col min="14364" max="14588" width="11.42578125" style="798"/>
    <col min="14589" max="14589" width="34.42578125" style="798" customWidth="1"/>
    <col min="14590" max="14591" width="19.42578125" style="798" bestFit="1" customWidth="1"/>
    <col min="14592" max="14592" width="19.7109375" style="798" customWidth="1"/>
    <col min="14593" max="14594" width="20.42578125" style="798" customWidth="1"/>
    <col min="14595" max="14596" width="19.7109375" style="798" customWidth="1"/>
    <col min="14597" max="14597" width="25.28515625" style="798" customWidth="1"/>
    <col min="14598" max="14598" width="26" style="798" customWidth="1"/>
    <col min="14599" max="14599" width="22.28515625" style="798" customWidth="1"/>
    <col min="14600" max="14600" width="24.85546875" style="798" customWidth="1"/>
    <col min="14601" max="14601" width="21.140625" style="798" customWidth="1"/>
    <col min="14602" max="14602" width="21.42578125" style="798" customWidth="1"/>
    <col min="14603" max="14603" width="27.85546875" style="798" customWidth="1"/>
    <col min="14604" max="14604" width="23.42578125" style="798" customWidth="1"/>
    <col min="14605" max="14605" width="21.42578125" style="798" customWidth="1"/>
    <col min="14606" max="14608" width="20.7109375" style="798" customWidth="1"/>
    <col min="14609" max="14609" width="32.28515625" style="798" bestFit="1" customWidth="1"/>
    <col min="14610" max="14610" width="20.7109375" style="798" customWidth="1"/>
    <col min="14611" max="14611" width="22" style="798" customWidth="1"/>
    <col min="14612" max="14615" width="21.28515625" style="798" customWidth="1"/>
    <col min="14616" max="14616" width="22.28515625" style="798" customWidth="1"/>
    <col min="14617" max="14618" width="11.42578125" style="798"/>
    <col min="14619" max="14619" width="14.85546875" style="798" bestFit="1" customWidth="1"/>
    <col min="14620" max="14844" width="11.42578125" style="798"/>
    <col min="14845" max="14845" width="34.42578125" style="798" customWidth="1"/>
    <col min="14846" max="14847" width="19.42578125" style="798" bestFit="1" customWidth="1"/>
    <col min="14848" max="14848" width="19.7109375" style="798" customWidth="1"/>
    <col min="14849" max="14850" width="20.42578125" style="798" customWidth="1"/>
    <col min="14851" max="14852" width="19.7109375" style="798" customWidth="1"/>
    <col min="14853" max="14853" width="25.28515625" style="798" customWidth="1"/>
    <col min="14854" max="14854" width="26" style="798" customWidth="1"/>
    <col min="14855" max="14855" width="22.28515625" style="798" customWidth="1"/>
    <col min="14856" max="14856" width="24.85546875" style="798" customWidth="1"/>
    <col min="14857" max="14857" width="21.140625" style="798" customWidth="1"/>
    <col min="14858" max="14858" width="21.42578125" style="798" customWidth="1"/>
    <col min="14859" max="14859" width="27.85546875" style="798" customWidth="1"/>
    <col min="14860" max="14860" width="23.42578125" style="798" customWidth="1"/>
    <col min="14861" max="14861" width="21.42578125" style="798" customWidth="1"/>
    <col min="14862" max="14864" width="20.7109375" style="798" customWidth="1"/>
    <col min="14865" max="14865" width="32.28515625" style="798" bestFit="1" customWidth="1"/>
    <col min="14866" max="14866" width="20.7109375" style="798" customWidth="1"/>
    <col min="14867" max="14867" width="22" style="798" customWidth="1"/>
    <col min="14868" max="14871" width="21.28515625" style="798" customWidth="1"/>
    <col min="14872" max="14872" width="22.28515625" style="798" customWidth="1"/>
    <col min="14873" max="14874" width="11.42578125" style="798"/>
    <col min="14875" max="14875" width="14.85546875" style="798" bestFit="1" customWidth="1"/>
    <col min="14876" max="15100" width="11.42578125" style="798"/>
    <col min="15101" max="15101" width="34.42578125" style="798" customWidth="1"/>
    <col min="15102" max="15103" width="19.42578125" style="798" bestFit="1" customWidth="1"/>
    <col min="15104" max="15104" width="19.7109375" style="798" customWidth="1"/>
    <col min="15105" max="15106" width="20.42578125" style="798" customWidth="1"/>
    <col min="15107" max="15108" width="19.7109375" style="798" customWidth="1"/>
    <col min="15109" max="15109" width="25.28515625" style="798" customWidth="1"/>
    <col min="15110" max="15110" width="26" style="798" customWidth="1"/>
    <col min="15111" max="15111" width="22.28515625" style="798" customWidth="1"/>
    <col min="15112" max="15112" width="24.85546875" style="798" customWidth="1"/>
    <col min="15113" max="15113" width="21.140625" style="798" customWidth="1"/>
    <col min="15114" max="15114" width="21.42578125" style="798" customWidth="1"/>
    <col min="15115" max="15115" width="27.85546875" style="798" customWidth="1"/>
    <col min="15116" max="15116" width="23.42578125" style="798" customWidth="1"/>
    <col min="15117" max="15117" width="21.42578125" style="798" customWidth="1"/>
    <col min="15118" max="15120" width="20.7109375" style="798" customWidth="1"/>
    <col min="15121" max="15121" width="32.28515625" style="798" bestFit="1" customWidth="1"/>
    <col min="15122" max="15122" width="20.7109375" style="798" customWidth="1"/>
    <col min="15123" max="15123" width="22" style="798" customWidth="1"/>
    <col min="15124" max="15127" width="21.28515625" style="798" customWidth="1"/>
    <col min="15128" max="15128" width="22.28515625" style="798" customWidth="1"/>
    <col min="15129" max="15130" width="11.42578125" style="798"/>
    <col min="15131" max="15131" width="14.85546875" style="798" bestFit="1" customWidth="1"/>
    <col min="15132" max="15356" width="11.42578125" style="798"/>
    <col min="15357" max="15357" width="34.42578125" style="798" customWidth="1"/>
    <col min="15358" max="15359" width="19.42578125" style="798" bestFit="1" customWidth="1"/>
    <col min="15360" max="15360" width="19.7109375" style="798" customWidth="1"/>
    <col min="15361" max="15362" width="20.42578125" style="798" customWidth="1"/>
    <col min="15363" max="15364" width="19.7109375" style="798" customWidth="1"/>
    <col min="15365" max="15365" width="25.28515625" style="798" customWidth="1"/>
    <col min="15366" max="15366" width="26" style="798" customWidth="1"/>
    <col min="15367" max="15367" width="22.28515625" style="798" customWidth="1"/>
    <col min="15368" max="15368" width="24.85546875" style="798" customWidth="1"/>
    <col min="15369" max="15369" width="21.140625" style="798" customWidth="1"/>
    <col min="15370" max="15370" width="21.42578125" style="798" customWidth="1"/>
    <col min="15371" max="15371" width="27.85546875" style="798" customWidth="1"/>
    <col min="15372" max="15372" width="23.42578125" style="798" customWidth="1"/>
    <col min="15373" max="15373" width="21.42578125" style="798" customWidth="1"/>
    <col min="15374" max="15376" width="20.7109375" style="798" customWidth="1"/>
    <col min="15377" max="15377" width="32.28515625" style="798" bestFit="1" customWidth="1"/>
    <col min="15378" max="15378" width="20.7109375" style="798" customWidth="1"/>
    <col min="15379" max="15379" width="22" style="798" customWidth="1"/>
    <col min="15380" max="15383" width="21.28515625" style="798" customWidth="1"/>
    <col min="15384" max="15384" width="22.28515625" style="798" customWidth="1"/>
    <col min="15385" max="15386" width="11.42578125" style="798"/>
    <col min="15387" max="15387" width="14.85546875" style="798" bestFit="1" customWidth="1"/>
    <col min="15388" max="15612" width="11.42578125" style="798"/>
    <col min="15613" max="15613" width="34.42578125" style="798" customWidth="1"/>
    <col min="15614" max="15615" width="19.42578125" style="798" bestFit="1" customWidth="1"/>
    <col min="15616" max="15616" width="19.7109375" style="798" customWidth="1"/>
    <col min="15617" max="15618" width="20.42578125" style="798" customWidth="1"/>
    <col min="15619" max="15620" width="19.7109375" style="798" customWidth="1"/>
    <col min="15621" max="15621" width="25.28515625" style="798" customWidth="1"/>
    <col min="15622" max="15622" width="26" style="798" customWidth="1"/>
    <col min="15623" max="15623" width="22.28515625" style="798" customWidth="1"/>
    <col min="15624" max="15624" width="24.85546875" style="798" customWidth="1"/>
    <col min="15625" max="15625" width="21.140625" style="798" customWidth="1"/>
    <col min="15626" max="15626" width="21.42578125" style="798" customWidth="1"/>
    <col min="15627" max="15627" width="27.85546875" style="798" customWidth="1"/>
    <col min="15628" max="15628" width="23.42578125" style="798" customWidth="1"/>
    <col min="15629" max="15629" width="21.42578125" style="798" customWidth="1"/>
    <col min="15630" max="15632" width="20.7109375" style="798" customWidth="1"/>
    <col min="15633" max="15633" width="32.28515625" style="798" bestFit="1" customWidth="1"/>
    <col min="15634" max="15634" width="20.7109375" style="798" customWidth="1"/>
    <col min="15635" max="15635" width="22" style="798" customWidth="1"/>
    <col min="15636" max="15639" width="21.28515625" style="798" customWidth="1"/>
    <col min="15640" max="15640" width="22.28515625" style="798" customWidth="1"/>
    <col min="15641" max="15642" width="11.42578125" style="798"/>
    <col min="15643" max="15643" width="14.85546875" style="798" bestFit="1" customWidth="1"/>
    <col min="15644" max="15868" width="11.42578125" style="798"/>
    <col min="15869" max="15869" width="34.42578125" style="798" customWidth="1"/>
    <col min="15870" max="15871" width="19.42578125" style="798" bestFit="1" customWidth="1"/>
    <col min="15872" max="15872" width="19.7109375" style="798" customWidth="1"/>
    <col min="15873" max="15874" width="20.42578125" style="798" customWidth="1"/>
    <col min="15875" max="15876" width="19.7109375" style="798" customWidth="1"/>
    <col min="15877" max="15877" width="25.28515625" style="798" customWidth="1"/>
    <col min="15878" max="15878" width="26" style="798" customWidth="1"/>
    <col min="15879" max="15879" width="22.28515625" style="798" customWidth="1"/>
    <col min="15880" max="15880" width="24.85546875" style="798" customWidth="1"/>
    <col min="15881" max="15881" width="21.140625" style="798" customWidth="1"/>
    <col min="15882" max="15882" width="21.42578125" style="798" customWidth="1"/>
    <col min="15883" max="15883" width="27.85546875" style="798" customWidth="1"/>
    <col min="15884" max="15884" width="23.42578125" style="798" customWidth="1"/>
    <col min="15885" max="15885" width="21.42578125" style="798" customWidth="1"/>
    <col min="15886" max="15888" width="20.7109375" style="798" customWidth="1"/>
    <col min="15889" max="15889" width="32.28515625" style="798" bestFit="1" customWidth="1"/>
    <col min="15890" max="15890" width="20.7109375" style="798" customWidth="1"/>
    <col min="15891" max="15891" width="22" style="798" customWidth="1"/>
    <col min="15892" max="15895" width="21.28515625" style="798" customWidth="1"/>
    <col min="15896" max="15896" width="22.28515625" style="798" customWidth="1"/>
    <col min="15897" max="15898" width="11.42578125" style="798"/>
    <col min="15899" max="15899" width="14.85546875" style="798" bestFit="1" customWidth="1"/>
    <col min="15900" max="16124" width="11.42578125" style="798"/>
    <col min="16125" max="16125" width="34.42578125" style="798" customWidth="1"/>
    <col min="16126" max="16127" width="19.42578125" style="798" bestFit="1" customWidth="1"/>
    <col min="16128" max="16128" width="19.7109375" style="798" customWidth="1"/>
    <col min="16129" max="16130" width="20.42578125" style="798" customWidth="1"/>
    <col min="16131" max="16132" width="19.7109375" style="798" customWidth="1"/>
    <col min="16133" max="16133" width="25.28515625" style="798" customWidth="1"/>
    <col min="16134" max="16134" width="26" style="798" customWidth="1"/>
    <col min="16135" max="16135" width="22.28515625" style="798" customWidth="1"/>
    <col min="16136" max="16136" width="24.85546875" style="798" customWidth="1"/>
    <col min="16137" max="16137" width="21.140625" style="798" customWidth="1"/>
    <col min="16138" max="16138" width="21.42578125" style="798" customWidth="1"/>
    <col min="16139" max="16139" width="27.85546875" style="798" customWidth="1"/>
    <col min="16140" max="16140" width="23.42578125" style="798" customWidth="1"/>
    <col min="16141" max="16141" width="21.42578125" style="798" customWidth="1"/>
    <col min="16142" max="16144" width="20.7109375" style="798" customWidth="1"/>
    <col min="16145" max="16145" width="32.28515625" style="798" bestFit="1" customWidth="1"/>
    <col min="16146" max="16146" width="20.7109375" style="798" customWidth="1"/>
    <col min="16147" max="16147" width="22" style="798" customWidth="1"/>
    <col min="16148" max="16151" width="21.28515625" style="798" customWidth="1"/>
    <col min="16152" max="16152" width="22.28515625" style="798" customWidth="1"/>
    <col min="16153" max="16154" width="11.42578125" style="798"/>
    <col min="16155" max="16155" width="14.85546875" style="798" bestFit="1" customWidth="1"/>
    <col min="16156" max="16384" width="11.42578125" style="798"/>
  </cols>
  <sheetData>
    <row r="1" spans="1:25" s="779" customFormat="1" x14ac:dyDescent="0.25">
      <c r="A1" s="776" t="s">
        <v>134</v>
      </c>
      <c r="L1" s="919" t="s">
        <v>0</v>
      </c>
      <c r="M1" s="919"/>
      <c r="N1" s="919"/>
      <c r="O1" s="780"/>
      <c r="P1" s="780"/>
      <c r="Q1" s="780"/>
      <c r="R1" s="780"/>
      <c r="S1" s="780"/>
      <c r="T1" s="780"/>
      <c r="U1" s="780"/>
      <c r="V1" s="780"/>
      <c r="W1" s="780"/>
      <c r="X1" s="780"/>
      <c r="Y1" s="780"/>
    </row>
    <row r="2" spans="1:25" s="779" customFormat="1" x14ac:dyDescent="0.25">
      <c r="A2" s="777">
        <f>COUNTA(A8:A14) - MATCH(A3,A8:A14,0)+1</f>
        <v>1</v>
      </c>
      <c r="L2" s="780" t="s">
        <v>1</v>
      </c>
      <c r="M2" s="780"/>
      <c r="N2" s="780"/>
      <c r="O2" s="781"/>
      <c r="P2" s="1072" t="s">
        <v>2</v>
      </c>
      <c r="Q2" s="1072"/>
      <c r="R2" s="1072"/>
      <c r="S2" s="781"/>
      <c r="T2" s="781" t="s">
        <v>3</v>
      </c>
      <c r="U2" s="1072" t="s">
        <v>55</v>
      </c>
      <c r="V2" s="1072"/>
      <c r="X2" s="781"/>
      <c r="Y2" s="781"/>
    </row>
    <row r="3" spans="1:25" s="779" customFormat="1" ht="15.75" thickBot="1" x14ac:dyDescent="0.3">
      <c r="A3" s="778" t="s">
        <v>23</v>
      </c>
      <c r="L3" s="780" t="s">
        <v>4</v>
      </c>
      <c r="M3" s="780"/>
      <c r="N3" s="780"/>
      <c r="O3" s="781"/>
      <c r="P3" s="960">
        <v>2</v>
      </c>
      <c r="Q3" s="781"/>
      <c r="R3" s="781"/>
      <c r="S3" s="781" t="s">
        <v>6</v>
      </c>
      <c r="T3" s="1081">
        <v>45768</v>
      </c>
      <c r="U3" s="1081"/>
      <c r="V3" s="1081">
        <f>T3+6</f>
        <v>45774</v>
      </c>
      <c r="W3" s="1081"/>
      <c r="X3" s="783"/>
      <c r="Y3" s="781"/>
    </row>
    <row r="4" spans="1:25" s="779" customFormat="1" ht="15.75" thickBot="1" x14ac:dyDescent="0.3">
      <c r="L4" s="780"/>
      <c r="M4" s="780"/>
      <c r="N4" s="780"/>
      <c r="O4" s="781"/>
      <c r="P4" s="920"/>
      <c r="Q4" s="781"/>
      <c r="R4" s="781"/>
      <c r="S4" s="781"/>
      <c r="T4" s="961"/>
      <c r="U4" s="961"/>
      <c r="V4" s="961"/>
      <c r="W4" s="961"/>
      <c r="X4" s="783"/>
      <c r="Y4" s="781"/>
    </row>
    <row r="5" spans="1:25" s="779" customFormat="1" ht="15.75" thickBot="1" x14ac:dyDescent="0.3">
      <c r="A5" s="784" t="s">
        <v>7</v>
      </c>
      <c r="B5" s="1073" t="s">
        <v>113</v>
      </c>
      <c r="C5" s="1074"/>
      <c r="D5" s="1074"/>
      <c r="E5" s="1074"/>
      <c r="F5" s="1074"/>
      <c r="G5" s="1074"/>
      <c r="H5" s="1074"/>
      <c r="I5" s="1075" t="s">
        <v>63</v>
      </c>
      <c r="J5" s="1076"/>
      <c r="K5" s="1076"/>
      <c r="L5" s="1076"/>
      <c r="M5" s="1076"/>
      <c r="N5" s="1076"/>
      <c r="O5" s="1077"/>
      <c r="P5" s="1078" t="s">
        <v>8</v>
      </c>
      <c r="Q5" s="1079"/>
      <c r="R5" s="1079"/>
      <c r="S5" s="1079"/>
      <c r="T5" s="1079"/>
      <c r="U5" s="1079"/>
      <c r="V5" s="1080"/>
      <c r="W5" s="785"/>
      <c r="Y5" s="786" t="s">
        <v>130</v>
      </c>
    </row>
    <row r="6" spans="1:25" ht="15.75" thickBot="1" x14ac:dyDescent="0.3">
      <c r="A6" s="967" t="s">
        <v>10</v>
      </c>
      <c r="B6" s="794">
        <v>1</v>
      </c>
      <c r="C6" s="795">
        <v>2</v>
      </c>
      <c r="D6" s="795">
        <v>3</v>
      </c>
      <c r="E6" s="795">
        <v>4</v>
      </c>
      <c r="F6" s="795">
        <v>5</v>
      </c>
      <c r="G6" s="795">
        <v>6</v>
      </c>
      <c r="H6" s="796">
        <v>7</v>
      </c>
      <c r="I6" s="794">
        <v>1</v>
      </c>
      <c r="J6" s="795">
        <v>2</v>
      </c>
      <c r="K6" s="795">
        <v>3</v>
      </c>
      <c r="L6" s="795">
        <v>4</v>
      </c>
      <c r="M6" s="795">
        <v>5</v>
      </c>
      <c r="N6" s="795">
        <v>6</v>
      </c>
      <c r="O6" s="796">
        <v>7</v>
      </c>
      <c r="P6" s="794">
        <v>1</v>
      </c>
      <c r="Q6" s="795">
        <v>2</v>
      </c>
      <c r="R6" s="795">
        <v>3</v>
      </c>
      <c r="S6" s="795">
        <v>4</v>
      </c>
      <c r="T6" s="795">
        <v>5</v>
      </c>
      <c r="U6" s="795">
        <v>6</v>
      </c>
      <c r="V6" s="796">
        <v>7</v>
      </c>
      <c r="W6" s="968" t="s">
        <v>9</v>
      </c>
      <c r="Y6" s="799" t="s">
        <v>131</v>
      </c>
    </row>
    <row r="7" spans="1:25" ht="15.75" thickBot="1" x14ac:dyDescent="0.3">
      <c r="A7" s="982" t="s">
        <v>136</v>
      </c>
      <c r="B7" s="975">
        <v>83.4</v>
      </c>
      <c r="C7" s="976">
        <v>82.9</v>
      </c>
      <c r="D7" s="976">
        <v>82.5</v>
      </c>
      <c r="E7" s="977">
        <v>13.2</v>
      </c>
      <c r="F7" s="976">
        <v>85</v>
      </c>
      <c r="G7" s="976">
        <v>82.8</v>
      </c>
      <c r="H7" s="978">
        <v>83.9</v>
      </c>
      <c r="I7" s="979">
        <v>87.2</v>
      </c>
      <c r="J7" s="976">
        <v>88.5</v>
      </c>
      <c r="K7" s="976">
        <v>90.7</v>
      </c>
      <c r="L7" s="976">
        <v>16.2</v>
      </c>
      <c r="M7" s="976">
        <v>89.5</v>
      </c>
      <c r="N7" s="976">
        <v>88.3</v>
      </c>
      <c r="O7" s="976">
        <v>90.3</v>
      </c>
      <c r="P7" s="980">
        <v>89.9</v>
      </c>
      <c r="Q7" s="977">
        <v>88.3</v>
      </c>
      <c r="R7" s="976">
        <v>87.9</v>
      </c>
      <c r="S7" s="976">
        <v>18.600000000000001</v>
      </c>
      <c r="T7" s="976">
        <v>89.3</v>
      </c>
      <c r="U7" s="976">
        <v>88.8</v>
      </c>
      <c r="V7" s="981">
        <v>89.6</v>
      </c>
      <c r="W7" s="983">
        <f t="shared" ref="W7:W14" si="0">SUM(B7:V7)</f>
        <v>1616.8</v>
      </c>
      <c r="Y7" s="807">
        <v>1</v>
      </c>
    </row>
    <row r="8" spans="1:25" x14ac:dyDescent="0.25">
      <c r="A8" s="969" t="s">
        <v>51</v>
      </c>
      <c r="B8" s="970">
        <v>83.4</v>
      </c>
      <c r="C8" s="971">
        <v>82.9</v>
      </c>
      <c r="D8" s="971">
        <v>82.5</v>
      </c>
      <c r="E8" s="971">
        <v>13.1</v>
      </c>
      <c r="F8" s="971">
        <v>85</v>
      </c>
      <c r="G8" s="971">
        <v>82.8</v>
      </c>
      <c r="H8" s="974">
        <v>83.9</v>
      </c>
      <c r="I8" s="973">
        <v>87.2</v>
      </c>
      <c r="J8" s="971">
        <v>88.5</v>
      </c>
      <c r="K8" s="971">
        <v>90.7</v>
      </c>
      <c r="L8" s="972">
        <v>16.2</v>
      </c>
      <c r="M8" s="971">
        <v>89.5</v>
      </c>
      <c r="N8" s="972">
        <v>88.3</v>
      </c>
      <c r="O8" s="971">
        <v>90.3</v>
      </c>
      <c r="P8" s="970">
        <v>89.8</v>
      </c>
      <c r="Q8" s="972">
        <v>88.2</v>
      </c>
      <c r="R8" s="971">
        <v>87.9</v>
      </c>
      <c r="S8" s="972">
        <v>18.600000000000001</v>
      </c>
      <c r="T8" s="971">
        <v>89.3</v>
      </c>
      <c r="U8" s="971">
        <v>88.8</v>
      </c>
      <c r="V8" s="974">
        <v>89.6</v>
      </c>
      <c r="W8" s="1001">
        <f t="shared" si="0"/>
        <v>1616.5</v>
      </c>
      <c r="X8" s="815">
        <f>W8-W7</f>
        <v>-0.29999999999995453</v>
      </c>
      <c r="Y8" s="816">
        <v>2</v>
      </c>
    </row>
    <row r="9" spans="1:25" x14ac:dyDescent="0.25">
      <c r="A9" s="808" t="s">
        <v>24</v>
      </c>
      <c r="B9" s="924">
        <f>B8</f>
        <v>83.4</v>
      </c>
      <c r="C9" s="925">
        <f t="shared" ref="C9:V9" si="1">C8</f>
        <v>82.9</v>
      </c>
      <c r="D9" s="925">
        <f t="shared" si="1"/>
        <v>82.5</v>
      </c>
      <c r="E9" s="925">
        <f t="shared" si="1"/>
        <v>13.1</v>
      </c>
      <c r="F9" s="925">
        <f t="shared" si="1"/>
        <v>85</v>
      </c>
      <c r="G9" s="925">
        <f t="shared" si="1"/>
        <v>82.8</v>
      </c>
      <c r="H9" s="926">
        <f t="shared" si="1"/>
        <v>83.9</v>
      </c>
      <c r="I9" s="927">
        <f t="shared" si="1"/>
        <v>87.2</v>
      </c>
      <c r="J9" s="925">
        <f t="shared" si="1"/>
        <v>88.5</v>
      </c>
      <c r="K9" s="925">
        <f t="shared" si="1"/>
        <v>90.7</v>
      </c>
      <c r="L9" s="925">
        <v>16.100000000000001</v>
      </c>
      <c r="M9" s="925">
        <f t="shared" si="1"/>
        <v>89.5</v>
      </c>
      <c r="N9" s="925">
        <v>88.2</v>
      </c>
      <c r="O9" s="1003">
        <f t="shared" si="1"/>
        <v>90.3</v>
      </c>
      <c r="P9" s="924">
        <f t="shared" si="1"/>
        <v>89.8</v>
      </c>
      <c r="Q9" s="925">
        <v>88.1</v>
      </c>
      <c r="R9" s="925">
        <f t="shared" si="1"/>
        <v>87.9</v>
      </c>
      <c r="S9" s="925">
        <v>18.5</v>
      </c>
      <c r="T9" s="925">
        <f t="shared" si="1"/>
        <v>89.3</v>
      </c>
      <c r="U9" s="963">
        <f t="shared" si="1"/>
        <v>88.8</v>
      </c>
      <c r="V9" s="926">
        <f t="shared" si="1"/>
        <v>89.6</v>
      </c>
      <c r="W9" s="951">
        <f t="shared" si="0"/>
        <v>1616.1</v>
      </c>
      <c r="X9" s="815">
        <f>W9-W8</f>
        <v>-0.40000000000009095</v>
      </c>
      <c r="Y9" s="818">
        <v>3</v>
      </c>
    </row>
    <row r="10" spans="1:25" x14ac:dyDescent="0.25">
      <c r="A10" s="808" t="s">
        <v>20</v>
      </c>
      <c r="B10" s="924">
        <v>83.7</v>
      </c>
      <c r="C10" s="925">
        <v>82.8</v>
      </c>
      <c r="D10" s="925">
        <v>82.7</v>
      </c>
      <c r="E10" s="963">
        <v>13.5</v>
      </c>
      <c r="F10" s="925">
        <v>85</v>
      </c>
      <c r="G10" s="963">
        <v>83</v>
      </c>
      <c r="H10" s="926">
        <v>84.1</v>
      </c>
      <c r="I10" s="927">
        <v>87.3</v>
      </c>
      <c r="J10" s="925">
        <v>88.7</v>
      </c>
      <c r="K10" s="925">
        <v>90.9</v>
      </c>
      <c r="L10" s="963">
        <v>16.2</v>
      </c>
      <c r="M10" s="925">
        <v>89.4</v>
      </c>
      <c r="N10" s="925">
        <v>89.1</v>
      </c>
      <c r="O10" s="925">
        <v>89.9</v>
      </c>
      <c r="P10" s="924">
        <v>89.9</v>
      </c>
      <c r="Q10" s="925">
        <v>88.4</v>
      </c>
      <c r="R10" s="925">
        <v>88.3</v>
      </c>
      <c r="S10" s="925">
        <v>18.7</v>
      </c>
      <c r="T10" s="1003">
        <v>89.5</v>
      </c>
      <c r="U10" s="963">
        <v>88.7</v>
      </c>
      <c r="V10" s="964">
        <v>89.8</v>
      </c>
      <c r="W10" s="951">
        <f t="shared" si="0"/>
        <v>1619.6000000000001</v>
      </c>
      <c r="X10" s="815">
        <f t="shared" ref="X10:X14" si="2">W10-W9</f>
        <v>3.5000000000002274</v>
      </c>
      <c r="Y10" s="819">
        <v>4</v>
      </c>
    </row>
    <row r="11" spans="1:25" x14ac:dyDescent="0.25">
      <c r="A11" s="820" t="s">
        <v>28</v>
      </c>
      <c r="B11" s="924">
        <v>83.7</v>
      </c>
      <c r="C11" s="963">
        <v>82.8</v>
      </c>
      <c r="D11" s="925">
        <v>82.7</v>
      </c>
      <c r="E11" s="925">
        <v>13.4</v>
      </c>
      <c r="F11" s="925">
        <v>85</v>
      </c>
      <c r="G11" s="925">
        <v>82.9</v>
      </c>
      <c r="H11" s="926">
        <v>84.1</v>
      </c>
      <c r="I11" s="1004">
        <v>87.3</v>
      </c>
      <c r="J11" s="963">
        <v>88.7</v>
      </c>
      <c r="K11" s="925">
        <v>90.9</v>
      </c>
      <c r="L11" s="1003">
        <v>16.100000000000001</v>
      </c>
      <c r="M11" s="925">
        <v>89.4</v>
      </c>
      <c r="N11" s="925">
        <v>89.1</v>
      </c>
      <c r="O11" s="925">
        <v>89.9</v>
      </c>
      <c r="P11" s="924">
        <v>89.9</v>
      </c>
      <c r="Q11" s="925">
        <v>88.4</v>
      </c>
      <c r="R11" s="925">
        <v>88.3</v>
      </c>
      <c r="S11" s="925">
        <v>18.7</v>
      </c>
      <c r="T11" s="925">
        <v>89.2</v>
      </c>
      <c r="U11" s="925">
        <v>88.6</v>
      </c>
      <c r="V11" s="926">
        <v>89.7</v>
      </c>
      <c r="W11" s="951">
        <f t="shared" si="0"/>
        <v>1618.8000000000002</v>
      </c>
      <c r="X11" s="815">
        <f t="shared" si="2"/>
        <v>-0.79999999999995453</v>
      </c>
      <c r="Y11" s="821">
        <v>5</v>
      </c>
    </row>
    <row r="12" spans="1:25" x14ac:dyDescent="0.25">
      <c r="A12" s="808" t="s">
        <v>21</v>
      </c>
      <c r="B12" s="924">
        <v>83.7</v>
      </c>
      <c r="C12" s="925">
        <v>82.7</v>
      </c>
      <c r="D12" s="925">
        <v>82.7</v>
      </c>
      <c r="E12" s="963">
        <v>13.4</v>
      </c>
      <c r="F12" s="925">
        <v>85</v>
      </c>
      <c r="G12" s="925">
        <v>82.9</v>
      </c>
      <c r="H12" s="926">
        <v>83.8</v>
      </c>
      <c r="I12" s="927">
        <v>87.2</v>
      </c>
      <c r="J12" s="925">
        <v>88.6</v>
      </c>
      <c r="K12" s="925">
        <v>90.9</v>
      </c>
      <c r="L12" s="925">
        <v>15.8</v>
      </c>
      <c r="M12" s="925">
        <v>89.4</v>
      </c>
      <c r="N12" s="925">
        <v>89.1</v>
      </c>
      <c r="O12" s="925">
        <v>90.2</v>
      </c>
      <c r="P12" s="924">
        <v>89.9</v>
      </c>
      <c r="Q12" s="925">
        <v>88.4</v>
      </c>
      <c r="R12" s="925">
        <v>88.3</v>
      </c>
      <c r="S12" s="963">
        <v>18.399999999999999</v>
      </c>
      <c r="T12" s="925">
        <v>89.3</v>
      </c>
      <c r="U12" s="925">
        <v>88.8</v>
      </c>
      <c r="V12" s="926">
        <v>89.7</v>
      </c>
      <c r="W12" s="951">
        <f t="shared" si="0"/>
        <v>1618.2</v>
      </c>
      <c r="X12" s="815">
        <f t="shared" si="2"/>
        <v>-0.60000000000013642</v>
      </c>
      <c r="Y12" s="822">
        <v>6</v>
      </c>
    </row>
    <row r="13" spans="1:25" x14ac:dyDescent="0.25">
      <c r="A13" s="808" t="s">
        <v>22</v>
      </c>
      <c r="B13" s="924">
        <v>83.7</v>
      </c>
      <c r="C13" s="925">
        <v>82.7</v>
      </c>
      <c r="D13" s="925">
        <v>82.7</v>
      </c>
      <c r="E13" s="963">
        <v>13.3</v>
      </c>
      <c r="F13" s="925">
        <v>85</v>
      </c>
      <c r="G13" s="925">
        <v>82.9</v>
      </c>
      <c r="H13" s="964">
        <v>83.8</v>
      </c>
      <c r="I13" s="1004">
        <v>87.2</v>
      </c>
      <c r="J13" s="925">
        <v>88.6</v>
      </c>
      <c r="K13" s="925">
        <v>90.9</v>
      </c>
      <c r="L13" s="925">
        <v>15.8</v>
      </c>
      <c r="M13" s="925">
        <v>89.4</v>
      </c>
      <c r="N13" s="925">
        <v>89.1</v>
      </c>
      <c r="O13" s="925">
        <v>90.2</v>
      </c>
      <c r="P13" s="924">
        <v>89.9</v>
      </c>
      <c r="Q13" s="925">
        <v>88.4</v>
      </c>
      <c r="R13" s="925">
        <v>88.3</v>
      </c>
      <c r="S13" s="925">
        <v>18.3</v>
      </c>
      <c r="T13" s="925">
        <v>89.3</v>
      </c>
      <c r="U13" s="925">
        <v>88.8</v>
      </c>
      <c r="V13" s="926">
        <v>89.7</v>
      </c>
      <c r="W13" s="817">
        <f t="shared" si="0"/>
        <v>1618</v>
      </c>
      <c r="X13" s="815">
        <f t="shared" si="2"/>
        <v>-0.20000000000004547</v>
      </c>
      <c r="Y13" s="823">
        <v>7</v>
      </c>
    </row>
    <row r="14" spans="1:25" ht="15.75" thickBot="1" x14ac:dyDescent="0.3">
      <c r="A14" s="808" t="s">
        <v>23</v>
      </c>
      <c r="B14" s="924">
        <v>83.7</v>
      </c>
      <c r="C14" s="925">
        <v>82.7</v>
      </c>
      <c r="D14" s="963">
        <v>82.7</v>
      </c>
      <c r="E14" s="963">
        <v>13.2</v>
      </c>
      <c r="F14" s="925">
        <v>85</v>
      </c>
      <c r="G14" s="925">
        <v>82.9</v>
      </c>
      <c r="H14" s="926">
        <v>83.7</v>
      </c>
      <c r="I14" s="927">
        <v>87.1</v>
      </c>
      <c r="J14" s="925">
        <v>88.6</v>
      </c>
      <c r="K14" s="963">
        <v>90.9</v>
      </c>
      <c r="L14" s="963">
        <v>15.8</v>
      </c>
      <c r="M14" s="963">
        <v>89.4</v>
      </c>
      <c r="N14" s="925">
        <v>89.1</v>
      </c>
      <c r="O14" s="925">
        <v>90.2</v>
      </c>
      <c r="P14" s="924">
        <v>89.9</v>
      </c>
      <c r="Q14" s="963">
        <v>88.4</v>
      </c>
      <c r="R14" s="925">
        <v>88.3</v>
      </c>
      <c r="S14" s="925">
        <v>18.3</v>
      </c>
      <c r="T14" s="925">
        <v>89.3</v>
      </c>
      <c r="U14" s="963">
        <v>88.8</v>
      </c>
      <c r="V14" s="926">
        <v>89.7</v>
      </c>
      <c r="W14" s="817">
        <f t="shared" si="0"/>
        <v>1617.7</v>
      </c>
      <c r="X14" s="815">
        <f t="shared" si="2"/>
        <v>-0.29999999999995453</v>
      </c>
    </row>
    <row r="15" spans="1:25" x14ac:dyDescent="0.25">
      <c r="A15" s="800" t="s">
        <v>9</v>
      </c>
      <c r="B15" s="824">
        <f>SUM(B8:B14)</f>
        <v>585.29999999999995</v>
      </c>
      <c r="C15" s="825">
        <f>SUM(C8:C14)</f>
        <v>579.5</v>
      </c>
      <c r="D15" s="825">
        <f t="shared" ref="D15:V15" si="3">SUM(D8:D14)</f>
        <v>578.5</v>
      </c>
      <c r="E15" s="825">
        <f>SUM(E8:E14)</f>
        <v>93</v>
      </c>
      <c r="F15" s="825">
        <f t="shared" si="3"/>
        <v>595</v>
      </c>
      <c r="G15" s="825">
        <f t="shared" si="3"/>
        <v>580.19999999999993</v>
      </c>
      <c r="H15" s="826">
        <f t="shared" si="3"/>
        <v>587.30000000000007</v>
      </c>
      <c r="I15" s="824">
        <f t="shared" si="3"/>
        <v>610.5</v>
      </c>
      <c r="J15" s="825">
        <f t="shared" si="3"/>
        <v>620.20000000000005</v>
      </c>
      <c r="K15" s="825">
        <f t="shared" si="3"/>
        <v>635.9</v>
      </c>
      <c r="L15" s="825">
        <f t="shared" si="3"/>
        <v>111.99999999999999</v>
      </c>
      <c r="M15" s="825">
        <f t="shared" si="3"/>
        <v>625.99999999999989</v>
      </c>
      <c r="N15" s="825">
        <f t="shared" si="3"/>
        <v>622.00000000000011</v>
      </c>
      <c r="O15" s="826">
        <f t="shared" si="3"/>
        <v>631</v>
      </c>
      <c r="P15" s="824">
        <f t="shared" si="3"/>
        <v>629.09999999999991</v>
      </c>
      <c r="Q15" s="825">
        <f t="shared" si="3"/>
        <v>618.29999999999995</v>
      </c>
      <c r="R15" s="825">
        <f t="shared" si="3"/>
        <v>617.29999999999995</v>
      </c>
      <c r="S15" s="825">
        <f>SUM(S8:S14)</f>
        <v>129.5</v>
      </c>
      <c r="T15" s="825">
        <f t="shared" si="3"/>
        <v>625.19999999999993</v>
      </c>
      <c r="U15" s="825">
        <f t="shared" si="3"/>
        <v>621.29999999999995</v>
      </c>
      <c r="V15" s="826">
        <f t="shared" si="3"/>
        <v>627.80000000000007</v>
      </c>
      <c r="W15" s="827">
        <f>SUM(W8:W14)</f>
        <v>11324.900000000001</v>
      </c>
    </row>
    <row r="16" spans="1:25" s="779" customFormat="1" ht="14.25" x14ac:dyDescent="0.25">
      <c r="A16" s="828" t="s">
        <v>11</v>
      </c>
      <c r="B16" s="829">
        <v>153.9399999999998</v>
      </c>
      <c r="C16" s="830">
        <v>153.9399999999998</v>
      </c>
      <c r="D16" s="830">
        <v>153.9399999999998</v>
      </c>
      <c r="E16" s="830">
        <v>153.9399999999998</v>
      </c>
      <c r="F16" s="830">
        <v>153.9399999999998</v>
      </c>
      <c r="G16" s="830">
        <v>153.9399999999998</v>
      </c>
      <c r="H16" s="831">
        <v>153.9399999999998</v>
      </c>
      <c r="I16" s="829">
        <v>153.9399999999998</v>
      </c>
      <c r="J16" s="830">
        <v>153.9399999999998</v>
      </c>
      <c r="K16" s="830">
        <v>153.9399999999998</v>
      </c>
      <c r="L16" s="830">
        <v>153.9399999999998</v>
      </c>
      <c r="M16" s="830">
        <v>153.9399999999998</v>
      </c>
      <c r="N16" s="830">
        <v>153.9399999999998</v>
      </c>
      <c r="O16" s="831">
        <v>153.9399999999998</v>
      </c>
      <c r="P16" s="829">
        <v>153.9399999999998</v>
      </c>
      <c r="Q16" s="830">
        <v>153.9399999999998</v>
      </c>
      <c r="R16" s="830">
        <v>153.9399999999998</v>
      </c>
      <c r="S16" s="830">
        <v>153.9399999999998</v>
      </c>
      <c r="T16" s="830">
        <v>153.9399999999998</v>
      </c>
      <c r="U16" s="830">
        <v>153.9399999999998</v>
      </c>
      <c r="V16" s="831">
        <v>153.9399999999998</v>
      </c>
      <c r="W16" s="832">
        <f>((W15/W17)/7)*1000</f>
        <v>154.12430762530789</v>
      </c>
    </row>
    <row r="17" spans="1:24" s="779" customFormat="1" ht="14.25" x14ac:dyDescent="0.25">
      <c r="A17" s="833" t="s">
        <v>12</v>
      </c>
      <c r="B17" s="834">
        <v>543</v>
      </c>
      <c r="C17" s="835">
        <v>537</v>
      </c>
      <c r="D17" s="835">
        <v>537</v>
      </c>
      <c r="E17" s="835">
        <v>84</v>
      </c>
      <c r="F17" s="835">
        <v>552</v>
      </c>
      <c r="G17" s="835">
        <v>538</v>
      </c>
      <c r="H17" s="836">
        <v>543</v>
      </c>
      <c r="I17" s="834">
        <v>565</v>
      </c>
      <c r="J17" s="835">
        <v>575</v>
      </c>
      <c r="K17" s="835">
        <v>590</v>
      </c>
      <c r="L17" s="835">
        <v>102</v>
      </c>
      <c r="M17" s="835">
        <v>581</v>
      </c>
      <c r="N17" s="835">
        <v>577</v>
      </c>
      <c r="O17" s="836">
        <v>586</v>
      </c>
      <c r="P17" s="834">
        <v>584</v>
      </c>
      <c r="Q17" s="835">
        <v>574</v>
      </c>
      <c r="R17" s="835">
        <v>573</v>
      </c>
      <c r="S17" s="835">
        <v>120</v>
      </c>
      <c r="T17" s="835">
        <v>579</v>
      </c>
      <c r="U17" s="835">
        <v>575</v>
      </c>
      <c r="V17" s="836">
        <v>582</v>
      </c>
      <c r="W17" s="837">
        <f>SUM(B17:V17)</f>
        <v>10497</v>
      </c>
    </row>
    <row r="18" spans="1:24" s="779" customFormat="1" ht="14.25" x14ac:dyDescent="0.25">
      <c r="A18" s="838" t="s">
        <v>13</v>
      </c>
      <c r="B18" s="839">
        <f>((((B16*7)*B17)/1000-B8)/6)</f>
        <v>83.620989999999878</v>
      </c>
      <c r="C18" s="842">
        <f t="shared" ref="C18:V18" si="4">((((C16*7)*C17)/1000-C8)/6)</f>
        <v>82.626743333333209</v>
      </c>
      <c r="D18" s="842">
        <f t="shared" si="4"/>
        <v>82.693409999999872</v>
      </c>
      <c r="E18" s="842">
        <f t="shared" si="4"/>
        <v>12.902786666666648</v>
      </c>
      <c r="F18" s="842">
        <f t="shared" si="4"/>
        <v>84.970693333333202</v>
      </c>
      <c r="G18" s="842">
        <f t="shared" si="4"/>
        <v>82.823006666666544</v>
      </c>
      <c r="H18" s="843">
        <f t="shared" si="4"/>
        <v>83.537656666666535</v>
      </c>
      <c r="I18" s="839">
        <f t="shared" si="4"/>
        <v>86.938783333333177</v>
      </c>
      <c r="J18" s="842">
        <f t="shared" si="4"/>
        <v>88.518083333333195</v>
      </c>
      <c r="K18" s="842">
        <f t="shared" si="4"/>
        <v>90.845366666666507</v>
      </c>
      <c r="L18" s="842">
        <f t="shared" si="4"/>
        <v>15.618859999999977</v>
      </c>
      <c r="M18" s="842">
        <f t="shared" si="4"/>
        <v>89.428996666666535</v>
      </c>
      <c r="N18" s="842">
        <f t="shared" si="4"/>
        <v>88.910609999999863</v>
      </c>
      <c r="O18" s="843">
        <f t="shared" si="4"/>
        <v>90.193646666666538</v>
      </c>
      <c r="P18" s="839">
        <f t="shared" si="4"/>
        <v>89.91778666666653</v>
      </c>
      <c r="Q18" s="842">
        <f t="shared" si="4"/>
        <v>88.388486666666537</v>
      </c>
      <c r="R18" s="842">
        <f t="shared" si="4"/>
        <v>88.258889999999852</v>
      </c>
      <c r="S18" s="842">
        <f t="shared" si="4"/>
        <v>18.451599999999971</v>
      </c>
      <c r="T18" s="842">
        <f t="shared" si="4"/>
        <v>89.103136666666543</v>
      </c>
      <c r="U18" s="842">
        <f t="shared" si="4"/>
        <v>88.468083333333198</v>
      </c>
      <c r="V18" s="843">
        <f t="shared" si="4"/>
        <v>89.59192666666651</v>
      </c>
      <c r="W18" s="840">
        <f>((W15*1000)/7)/W17</f>
        <v>154.12430762530795</v>
      </c>
    </row>
    <row r="19" spans="1:24" x14ac:dyDescent="0.25">
      <c r="A19" s="841" t="s">
        <v>14</v>
      </c>
      <c r="B19" s="839">
        <f>((B17*B16)*7)/1000</f>
        <v>585.12593999999922</v>
      </c>
      <c r="C19" s="842">
        <f>((C17*C16)*7)/1000</f>
        <v>578.66045999999926</v>
      </c>
      <c r="D19" s="842">
        <f t="shared" ref="D19:V19" si="5">((D17*D16)*7)/1000</f>
        <v>578.66045999999926</v>
      </c>
      <c r="E19" s="842">
        <f t="shared" si="5"/>
        <v>90.516719999999879</v>
      </c>
      <c r="F19" s="842">
        <f t="shared" si="5"/>
        <v>594.82415999999921</v>
      </c>
      <c r="G19" s="842">
        <f t="shared" si="5"/>
        <v>579.73803999999927</v>
      </c>
      <c r="H19" s="843">
        <f t="shared" si="5"/>
        <v>585.12593999999922</v>
      </c>
      <c r="I19" s="839">
        <f t="shared" si="5"/>
        <v>608.83269999999925</v>
      </c>
      <c r="J19" s="842">
        <f t="shared" si="5"/>
        <v>619.60849999999914</v>
      </c>
      <c r="K19" s="842">
        <f t="shared" si="5"/>
        <v>635.77219999999909</v>
      </c>
      <c r="L19" s="842">
        <f t="shared" si="5"/>
        <v>109.91315999999986</v>
      </c>
      <c r="M19" s="842">
        <f t="shared" si="5"/>
        <v>626.07397999999921</v>
      </c>
      <c r="N19" s="842">
        <f t="shared" si="5"/>
        <v>621.76365999999916</v>
      </c>
      <c r="O19" s="843">
        <f t="shared" si="5"/>
        <v>631.46187999999916</v>
      </c>
      <c r="P19" s="839">
        <f t="shared" si="5"/>
        <v>629.30671999999913</v>
      </c>
      <c r="Q19" s="842">
        <f t="shared" si="5"/>
        <v>618.53091999999924</v>
      </c>
      <c r="R19" s="842">
        <f t="shared" si="5"/>
        <v>617.45333999999912</v>
      </c>
      <c r="S19" s="842">
        <f t="shared" si="5"/>
        <v>129.30959999999985</v>
      </c>
      <c r="T19" s="842">
        <f t="shared" si="5"/>
        <v>623.91881999999919</v>
      </c>
      <c r="U19" s="842">
        <f t="shared" si="5"/>
        <v>619.60849999999914</v>
      </c>
      <c r="V19" s="843">
        <f t="shared" si="5"/>
        <v>627.15155999999922</v>
      </c>
      <c r="W19" s="844"/>
    </row>
    <row r="20" spans="1:24" ht="15.75" thickBot="1" x14ac:dyDescent="0.3">
      <c r="A20" s="845" t="s">
        <v>15</v>
      </c>
      <c r="B20" s="846">
        <f>+(B15/B17)/7*1000</f>
        <v>153.98579321231253</v>
      </c>
      <c r="C20" s="847">
        <f t="shared" ref="C20:V20" si="6">+(C15/C17)/7*1000</f>
        <v>154.16334131417932</v>
      </c>
      <c r="D20" s="847">
        <f t="shared" si="6"/>
        <v>153.8973131151902</v>
      </c>
      <c r="E20" s="847">
        <f t="shared" si="6"/>
        <v>158.16326530612247</v>
      </c>
      <c r="F20" s="847">
        <f t="shared" si="6"/>
        <v>153.98550724637681</v>
      </c>
      <c r="G20" s="847">
        <f t="shared" si="6"/>
        <v>154.0626659585767</v>
      </c>
      <c r="H20" s="848">
        <f t="shared" si="6"/>
        <v>154.51197053407</v>
      </c>
      <c r="I20" s="846">
        <f t="shared" si="6"/>
        <v>154.36156763590395</v>
      </c>
      <c r="J20" s="847">
        <f t="shared" si="6"/>
        <v>154.08695652173915</v>
      </c>
      <c r="K20" s="847">
        <f t="shared" si="6"/>
        <v>153.97094430992735</v>
      </c>
      <c r="L20" s="847">
        <f t="shared" si="6"/>
        <v>156.8627450980392</v>
      </c>
      <c r="M20" s="847">
        <f t="shared" si="6"/>
        <v>153.92180968773047</v>
      </c>
      <c r="N20" s="847">
        <f t="shared" si="6"/>
        <v>153.99851448378317</v>
      </c>
      <c r="O20" s="848">
        <f t="shared" si="6"/>
        <v>153.8274012676743</v>
      </c>
      <c r="P20" s="846">
        <f t="shared" si="6"/>
        <v>153.88943248532286</v>
      </c>
      <c r="Q20" s="847">
        <f t="shared" si="6"/>
        <v>153.88252862120459</v>
      </c>
      <c r="R20" s="847">
        <f t="shared" si="6"/>
        <v>153.90177013213659</v>
      </c>
      <c r="S20" s="847">
        <f t="shared" si="6"/>
        <v>154.16666666666666</v>
      </c>
      <c r="T20" s="847">
        <f t="shared" si="6"/>
        <v>154.25610658771279</v>
      </c>
      <c r="U20" s="847">
        <f t="shared" si="6"/>
        <v>154.36024844720495</v>
      </c>
      <c r="V20" s="848">
        <f t="shared" si="6"/>
        <v>154.09916543937166</v>
      </c>
      <c r="W20" s="849"/>
    </row>
    <row r="21" spans="1:24" x14ac:dyDescent="0.25">
      <c r="A21" s="779"/>
      <c r="B21" s="850">
        <f t="shared" ref="B21:V21" si="7">B19-B15</f>
        <v>-0.17406000000073618</v>
      </c>
      <c r="C21" s="850">
        <f t="shared" si="7"/>
        <v>-0.83954000000073847</v>
      </c>
      <c r="D21" s="850">
        <f t="shared" si="7"/>
        <v>0.16045999999926153</v>
      </c>
      <c r="E21" s="850">
        <f t="shared" si="7"/>
        <v>-2.4832800000001214</v>
      </c>
      <c r="F21" s="850">
        <f t="shared" si="7"/>
        <v>-0.17584000000078959</v>
      </c>
      <c r="G21" s="850">
        <f t="shared" si="7"/>
        <v>-0.46196000000065851</v>
      </c>
      <c r="H21" s="850">
        <f t="shared" si="7"/>
        <v>-2.1740600000008499</v>
      </c>
      <c r="I21" s="850">
        <f t="shared" si="7"/>
        <v>-1.6673000000007505</v>
      </c>
      <c r="J21" s="850">
        <f t="shared" si="7"/>
        <v>-0.59150000000090586</v>
      </c>
      <c r="K21" s="850">
        <f t="shared" si="7"/>
        <v>-0.12780000000088876</v>
      </c>
      <c r="L21" s="850">
        <f t="shared" si="7"/>
        <v>-2.086840000000123</v>
      </c>
      <c r="M21" s="850">
        <f t="shared" si="7"/>
        <v>7.3979999999323809E-2</v>
      </c>
      <c r="N21" s="850">
        <f t="shared" si="7"/>
        <v>-0.23634000000095057</v>
      </c>
      <c r="O21" s="850">
        <f t="shared" si="7"/>
        <v>0.46187999999915519</v>
      </c>
      <c r="P21" s="850">
        <f t="shared" si="7"/>
        <v>0.20671999999922264</v>
      </c>
      <c r="Q21" s="850">
        <f t="shared" si="7"/>
        <v>0.23091999999928703</v>
      </c>
      <c r="R21" s="850">
        <f t="shared" si="7"/>
        <v>0.15333999999916159</v>
      </c>
      <c r="S21" s="850">
        <f t="shared" si="7"/>
        <v>-0.19040000000015311</v>
      </c>
      <c r="T21" s="850">
        <f t="shared" si="7"/>
        <v>-1.2811800000007452</v>
      </c>
      <c r="U21" s="850">
        <f t="shared" si="7"/>
        <v>-1.6915000000008149</v>
      </c>
      <c r="V21" s="850">
        <f t="shared" si="7"/>
        <v>-0.64844000000084634</v>
      </c>
      <c r="W21" s="851"/>
      <c r="X21" s="851"/>
    </row>
    <row r="22" spans="1:24" x14ac:dyDescent="0.25">
      <c r="A22" s="779"/>
      <c r="B22" s="922">
        <f>(B21+B25)/$A$2</f>
        <v>-0.17406000000073618</v>
      </c>
      <c r="C22" s="922">
        <f t="shared" ref="C22:V22" si="8">(C21+C25)/$A$2</f>
        <v>-0.83954000000073847</v>
      </c>
      <c r="D22" s="922">
        <f t="shared" si="8"/>
        <v>0.16045999999926153</v>
      </c>
      <c r="E22" s="922">
        <f t="shared" si="8"/>
        <v>-2.4832800000001214</v>
      </c>
      <c r="F22" s="922">
        <f t="shared" si="8"/>
        <v>-0.17584000000078959</v>
      </c>
      <c r="G22" s="922">
        <f t="shared" si="8"/>
        <v>-0.46196000000065851</v>
      </c>
      <c r="H22" s="922">
        <f t="shared" si="8"/>
        <v>-2.1740600000008499</v>
      </c>
      <c r="I22" s="922">
        <f t="shared" si="8"/>
        <v>-1.6673000000007505</v>
      </c>
      <c r="J22" s="922">
        <f t="shared" si="8"/>
        <v>-0.59150000000090586</v>
      </c>
      <c r="K22" s="922">
        <f t="shared" si="8"/>
        <v>-0.12780000000088876</v>
      </c>
      <c r="L22" s="922">
        <f t="shared" si="8"/>
        <v>-2.086840000000123</v>
      </c>
      <c r="M22" s="922">
        <f t="shared" si="8"/>
        <v>7.3979999999323809E-2</v>
      </c>
      <c r="N22" s="922">
        <f t="shared" si="8"/>
        <v>-0.23634000000095057</v>
      </c>
      <c r="O22" s="922">
        <f t="shared" si="8"/>
        <v>0.46187999999915519</v>
      </c>
      <c r="P22" s="922">
        <f t="shared" si="8"/>
        <v>0.20671999999922264</v>
      </c>
      <c r="Q22" s="922">
        <f t="shared" si="8"/>
        <v>0.23091999999928703</v>
      </c>
      <c r="R22" s="922">
        <f t="shared" si="8"/>
        <v>0.15333999999916159</v>
      </c>
      <c r="S22" s="922">
        <f t="shared" si="8"/>
        <v>-0.19040000000015311</v>
      </c>
      <c r="T22" s="922">
        <f t="shared" si="8"/>
        <v>-1.2811800000007452</v>
      </c>
      <c r="U22" s="922">
        <f t="shared" si="8"/>
        <v>-1.6915000000008149</v>
      </c>
      <c r="V22" s="922">
        <f t="shared" si="8"/>
        <v>-0.64844000000084634</v>
      </c>
      <c r="W22" s="852"/>
    </row>
    <row r="23" spans="1:24" x14ac:dyDescent="0.25">
      <c r="A23" s="779"/>
      <c r="B23" s="922">
        <f>B22 + SUMIF($A$8:$A$14, $A$3,B8:B14)</f>
        <v>83.525939999999267</v>
      </c>
      <c r="C23" s="922">
        <f t="shared" ref="C23:V23" si="9">C22 + SUMIF($A$8:$A$14, $A$3,C8:C14)</f>
        <v>81.860459999999264</v>
      </c>
      <c r="D23" s="922">
        <f t="shared" si="9"/>
        <v>82.860459999999264</v>
      </c>
      <c r="E23" s="922">
        <f t="shared" si="9"/>
        <v>10.716719999999878</v>
      </c>
      <c r="F23" s="922">
        <f t="shared" si="9"/>
        <v>84.82415999999921</v>
      </c>
      <c r="G23" s="922">
        <f t="shared" si="9"/>
        <v>82.438039999999347</v>
      </c>
      <c r="H23" s="922">
        <f t="shared" si="9"/>
        <v>81.525939999999153</v>
      </c>
      <c r="I23" s="922">
        <f t="shared" si="9"/>
        <v>85.432699999999244</v>
      </c>
      <c r="J23" s="922">
        <f t="shared" si="9"/>
        <v>88.008499999999088</v>
      </c>
      <c r="K23" s="922">
        <f t="shared" si="9"/>
        <v>90.772199999999117</v>
      </c>
      <c r="L23" s="922">
        <f t="shared" si="9"/>
        <v>13.713159999999878</v>
      </c>
      <c r="M23" s="922">
        <f t="shared" si="9"/>
        <v>89.473979999999329</v>
      </c>
      <c r="N23" s="922">
        <f t="shared" si="9"/>
        <v>88.863659999999044</v>
      </c>
      <c r="O23" s="922">
        <f t="shared" si="9"/>
        <v>90.661879999999158</v>
      </c>
      <c r="P23" s="922">
        <f t="shared" si="9"/>
        <v>90.106719999999228</v>
      </c>
      <c r="Q23" s="922">
        <f t="shared" si="9"/>
        <v>88.630919999999293</v>
      </c>
      <c r="R23" s="922">
        <f t="shared" si="9"/>
        <v>88.453339999999159</v>
      </c>
      <c r="S23" s="922">
        <f t="shared" si="9"/>
        <v>18.109599999999848</v>
      </c>
      <c r="T23" s="922">
        <f t="shared" si="9"/>
        <v>88.018819999999252</v>
      </c>
      <c r="U23" s="922">
        <f t="shared" si="9"/>
        <v>87.108499999999182</v>
      </c>
      <c r="V23" s="922">
        <f t="shared" si="9"/>
        <v>89.051559999999157</v>
      </c>
      <c r="W23" s="852"/>
    </row>
    <row r="24" spans="1:24" x14ac:dyDescent="0.25">
      <c r="A24" s="779"/>
      <c r="B24" s="923"/>
      <c r="C24" s="923"/>
      <c r="D24" s="923"/>
      <c r="E24" s="923"/>
      <c r="F24" s="923"/>
      <c r="G24" s="923"/>
      <c r="H24" s="923"/>
      <c r="I24" s="923"/>
      <c r="J24" s="923"/>
      <c r="K24" s="923"/>
      <c r="L24" s="923"/>
      <c r="M24" s="923"/>
      <c r="N24" s="923"/>
      <c r="O24" s="923"/>
      <c r="P24" s="923"/>
      <c r="Q24" s="923"/>
      <c r="R24" s="923"/>
      <c r="S24" s="923"/>
      <c r="T24" s="923"/>
      <c r="U24" s="923"/>
      <c r="V24" s="923"/>
      <c r="W24" s="852"/>
    </row>
    <row r="25" spans="1:24" x14ac:dyDescent="0.25">
      <c r="A25" s="779"/>
      <c r="B25" s="852"/>
      <c r="C25" s="852"/>
      <c r="D25" s="852"/>
      <c r="E25" s="852"/>
      <c r="F25" s="852"/>
      <c r="G25" s="852"/>
      <c r="H25" s="852"/>
      <c r="I25" s="852"/>
      <c r="J25" s="852"/>
      <c r="K25" s="852"/>
      <c r="L25" s="852"/>
      <c r="M25" s="852"/>
      <c r="N25" s="852"/>
      <c r="O25" s="852"/>
      <c r="P25" s="852"/>
      <c r="Q25" s="852"/>
      <c r="R25" s="852"/>
      <c r="S25" s="852"/>
      <c r="T25" s="852"/>
      <c r="U25" s="852"/>
      <c r="V25" s="852"/>
      <c r="W25" s="852"/>
    </row>
    <row r="26" spans="1:24" ht="15.75" thickBot="1" x14ac:dyDescent="0.3">
      <c r="A26" s="779"/>
      <c r="B26" s="852"/>
      <c r="C26" s="852"/>
      <c r="D26" s="852"/>
      <c r="E26" s="852"/>
      <c r="F26" s="852"/>
      <c r="G26" s="852"/>
      <c r="H26" s="852"/>
      <c r="I26" s="852"/>
      <c r="J26" s="852"/>
      <c r="K26" s="852"/>
      <c r="L26" s="852"/>
      <c r="M26" s="852"/>
      <c r="N26" s="852"/>
      <c r="O26" s="852"/>
      <c r="P26" s="852"/>
      <c r="Q26" s="852"/>
      <c r="R26" s="852"/>
      <c r="S26" s="852"/>
      <c r="T26" s="852"/>
      <c r="U26" s="852"/>
      <c r="V26" s="852"/>
      <c r="W26" s="852"/>
    </row>
    <row r="27" spans="1:24" ht="15.75" thickBot="1" x14ac:dyDescent="0.3">
      <c r="A27" s="853" t="s">
        <v>16</v>
      </c>
      <c r="B27" s="1082" t="s">
        <v>8</v>
      </c>
      <c r="C27" s="1083"/>
      <c r="D27" s="1083"/>
      <c r="E27" s="1083"/>
      <c r="F27" s="1083"/>
      <c r="G27" s="1083"/>
      <c r="H27" s="854"/>
      <c r="J27" s="851"/>
      <c r="K27" s="851"/>
      <c r="L27" s="851"/>
      <c r="M27" s="1086" t="s">
        <v>18</v>
      </c>
      <c r="N27" s="1087"/>
      <c r="O27" s="1083" t="s">
        <v>8</v>
      </c>
      <c r="P27" s="1083"/>
      <c r="Q27" s="1083"/>
      <c r="R27" s="1083"/>
      <c r="S27" s="1083"/>
      <c r="T27" s="1083"/>
      <c r="U27" s="855"/>
      <c r="V27" s="779"/>
      <c r="W27" s="779"/>
    </row>
    <row r="28" spans="1:24" ht="15.75" thickBot="1" x14ac:dyDescent="0.3">
      <c r="A28" s="862" t="s">
        <v>10</v>
      </c>
      <c r="B28" s="859">
        <v>1</v>
      </c>
      <c r="C28" s="863">
        <v>2</v>
      </c>
      <c r="D28" s="863">
        <v>3</v>
      </c>
      <c r="E28" s="863">
        <v>4</v>
      </c>
      <c r="F28" s="863">
        <v>5</v>
      </c>
      <c r="G28" s="863">
        <v>6</v>
      </c>
      <c r="H28" s="984" t="s">
        <v>9</v>
      </c>
      <c r="I28" s="858"/>
      <c r="J28" s="851"/>
      <c r="K28" s="851"/>
      <c r="L28" s="851"/>
      <c r="M28" s="1090" t="s">
        <v>10</v>
      </c>
      <c r="N28" s="1091"/>
      <c r="O28" s="941">
        <v>1</v>
      </c>
      <c r="P28" s="863">
        <v>2</v>
      </c>
      <c r="Q28" s="863">
        <v>3</v>
      </c>
      <c r="R28" s="863">
        <v>4</v>
      </c>
      <c r="S28" s="863">
        <v>5</v>
      </c>
      <c r="T28" s="991">
        <v>6</v>
      </c>
      <c r="U28" s="968" t="s">
        <v>9</v>
      </c>
      <c r="V28" s="858"/>
      <c r="W28" s="861"/>
    </row>
    <row r="29" spans="1:24" ht="15.75" thickBot="1" x14ac:dyDescent="0.3">
      <c r="A29" s="982" t="s">
        <v>136</v>
      </c>
      <c r="B29" s="980">
        <v>76.400000000000006</v>
      </c>
      <c r="C29" s="976">
        <v>74.5</v>
      </c>
      <c r="D29" s="989">
        <v>3.7</v>
      </c>
      <c r="E29" s="976">
        <v>81.099999999999994</v>
      </c>
      <c r="F29" s="976">
        <v>82.5</v>
      </c>
      <c r="G29" s="981">
        <v>84</v>
      </c>
      <c r="H29" s="990">
        <f t="shared" ref="H29" si="10">SUM(B29:G29)</f>
        <v>402.2</v>
      </c>
      <c r="I29" s="858"/>
      <c r="J29" s="851"/>
      <c r="K29" s="851"/>
      <c r="L29" s="851"/>
      <c r="M29" s="1090" t="s">
        <v>10</v>
      </c>
      <c r="N29" s="1091"/>
      <c r="O29" s="975">
        <v>5.8</v>
      </c>
      <c r="P29" s="976">
        <v>5.8</v>
      </c>
      <c r="Q29" s="976">
        <v>0.7</v>
      </c>
      <c r="R29" s="976">
        <v>6.4</v>
      </c>
      <c r="S29" s="976">
        <v>6.5</v>
      </c>
      <c r="T29" s="981">
        <v>6.2</v>
      </c>
      <c r="U29" s="990">
        <f t="shared" ref="U29" si="11">SUM(O29:T29)</f>
        <v>31.4</v>
      </c>
      <c r="V29" s="858"/>
      <c r="W29" s="866"/>
    </row>
    <row r="30" spans="1:24" x14ac:dyDescent="0.25">
      <c r="A30" s="808" t="s">
        <v>51</v>
      </c>
      <c r="B30" s="985">
        <v>76.3</v>
      </c>
      <c r="C30" s="986">
        <v>74.5</v>
      </c>
      <c r="D30" s="987">
        <v>3</v>
      </c>
      <c r="E30" s="986">
        <v>81.7</v>
      </c>
      <c r="F30" s="986">
        <v>82.5</v>
      </c>
      <c r="G30" s="988">
        <v>84</v>
      </c>
      <c r="H30" s="952">
        <f t="shared" ref="H30:H37" si="12">SUM(B30:G30)</f>
        <v>402</v>
      </c>
      <c r="I30" s="815">
        <f>H30-H29</f>
        <v>-0.19999999999998863</v>
      </c>
      <c r="J30" s="851"/>
      <c r="K30" s="851"/>
      <c r="L30" s="851"/>
      <c r="M30" s="1092" t="s">
        <v>51</v>
      </c>
      <c r="N30" s="1093"/>
      <c r="O30" s="973">
        <v>5.8</v>
      </c>
      <c r="P30" s="971">
        <v>5.8</v>
      </c>
      <c r="Q30" s="971">
        <v>0.6</v>
      </c>
      <c r="R30" s="971">
        <v>6.5</v>
      </c>
      <c r="S30" s="971">
        <v>6.5</v>
      </c>
      <c r="T30" s="992">
        <v>6.2</v>
      </c>
      <c r="U30" s="1002">
        <f t="shared" ref="U30:U37" si="13">SUM(O30:T30)</f>
        <v>31.4</v>
      </c>
      <c r="V30" s="815">
        <f>U30-U29</f>
        <v>0</v>
      </c>
      <c r="W30" s="866"/>
    </row>
    <row r="31" spans="1:24" x14ac:dyDescent="0.25">
      <c r="A31" s="808" t="s">
        <v>24</v>
      </c>
      <c r="B31" s="809">
        <v>76.3</v>
      </c>
      <c r="C31" s="810">
        <v>74.5</v>
      </c>
      <c r="D31" s="868">
        <v>3</v>
      </c>
      <c r="E31" s="810">
        <v>81.7</v>
      </c>
      <c r="F31" s="810">
        <v>82.5</v>
      </c>
      <c r="G31" s="812">
        <v>84</v>
      </c>
      <c r="H31" s="951">
        <f t="shared" si="12"/>
        <v>402</v>
      </c>
      <c r="I31" s="815">
        <f>H31-H30</f>
        <v>0</v>
      </c>
      <c r="J31" s="851"/>
      <c r="K31" s="851"/>
      <c r="L31" s="851"/>
      <c r="M31" s="1092" t="s">
        <v>24</v>
      </c>
      <c r="N31" s="1093"/>
      <c r="O31" s="927">
        <v>5.8</v>
      </c>
      <c r="P31" s="925">
        <v>5.8</v>
      </c>
      <c r="Q31" s="925">
        <v>0.6</v>
      </c>
      <c r="R31" s="925">
        <v>6.5</v>
      </c>
      <c r="S31" s="925">
        <v>6.5</v>
      </c>
      <c r="T31" s="993">
        <v>6.2</v>
      </c>
      <c r="U31" s="1005">
        <f t="shared" si="13"/>
        <v>31.4</v>
      </c>
      <c r="V31" s="815">
        <f>U31-U30</f>
        <v>0</v>
      </c>
      <c r="W31" s="866"/>
    </row>
    <row r="32" spans="1:24" x14ac:dyDescent="0.25">
      <c r="A32" s="808" t="s">
        <v>20</v>
      </c>
      <c r="B32" s="809">
        <v>76.099999999999994</v>
      </c>
      <c r="C32" s="810">
        <v>74.400000000000006</v>
      </c>
      <c r="D32" s="956">
        <v>4</v>
      </c>
      <c r="E32" s="810">
        <v>80.400000000000006</v>
      </c>
      <c r="F32" s="810">
        <v>82</v>
      </c>
      <c r="G32" s="949">
        <v>83.7</v>
      </c>
      <c r="H32" s="951">
        <f t="shared" si="12"/>
        <v>400.59999999999997</v>
      </c>
      <c r="I32" s="815">
        <f t="shared" ref="I32:I36" si="14">H32-H31</f>
        <v>-1.4000000000000341</v>
      </c>
      <c r="J32" s="869"/>
      <c r="K32" s="869"/>
      <c r="L32" s="869"/>
      <c r="M32" s="1092" t="s">
        <v>20</v>
      </c>
      <c r="N32" s="1093"/>
      <c r="O32" s="813">
        <v>5.7</v>
      </c>
      <c r="P32" s="813">
        <v>5.6</v>
      </c>
      <c r="Q32" s="813">
        <v>0.6</v>
      </c>
      <c r="R32" s="813">
        <v>6.2</v>
      </c>
      <c r="S32" s="813">
        <v>6.4</v>
      </c>
      <c r="T32" s="994">
        <v>6.2</v>
      </c>
      <c r="U32" s="1005">
        <f t="shared" si="13"/>
        <v>30.7</v>
      </c>
      <c r="V32" s="815">
        <f t="shared" ref="V32:V36" si="15">U32-U31</f>
        <v>-0.69999999999999929</v>
      </c>
      <c r="W32" s="866"/>
    </row>
    <row r="33" spans="1:26" x14ac:dyDescent="0.25">
      <c r="A33" s="820" t="s">
        <v>28</v>
      </c>
      <c r="B33" s="809">
        <v>76.099999999999994</v>
      </c>
      <c r="C33" s="810">
        <v>74.400000000000006</v>
      </c>
      <c r="D33" s="868">
        <v>3.9</v>
      </c>
      <c r="E33" s="810">
        <v>80.400000000000006</v>
      </c>
      <c r="F33" s="810">
        <v>82</v>
      </c>
      <c r="G33" s="812">
        <v>83.6</v>
      </c>
      <c r="H33" s="951">
        <f t="shared" si="12"/>
        <v>400.4</v>
      </c>
      <c r="I33" s="870">
        <f t="shared" si="14"/>
        <v>-0.19999999999998863</v>
      </c>
      <c r="J33" s="779"/>
      <c r="K33" s="779"/>
      <c r="L33" s="779"/>
      <c r="M33" s="1092" t="s">
        <v>28</v>
      </c>
      <c r="N33" s="1093"/>
      <c r="O33" s="813">
        <v>5.7</v>
      </c>
      <c r="P33" s="813">
        <v>5.7</v>
      </c>
      <c r="Q33" s="813">
        <v>0.6</v>
      </c>
      <c r="R33" s="813">
        <v>6.2</v>
      </c>
      <c r="S33" s="813">
        <v>6.4</v>
      </c>
      <c r="T33" s="994">
        <v>6.2</v>
      </c>
      <c r="U33" s="1005">
        <f t="shared" si="13"/>
        <v>30.8</v>
      </c>
      <c r="V33" s="815">
        <f t="shared" si="15"/>
        <v>0.10000000000000142</v>
      </c>
      <c r="W33" s="866"/>
    </row>
    <row r="34" spans="1:26" x14ac:dyDescent="0.25">
      <c r="A34" s="808" t="s">
        <v>21</v>
      </c>
      <c r="B34" s="809">
        <v>76.099999999999994</v>
      </c>
      <c r="C34" s="810">
        <v>74.400000000000006</v>
      </c>
      <c r="D34" s="868">
        <v>3.9</v>
      </c>
      <c r="E34" s="810">
        <v>80.400000000000006</v>
      </c>
      <c r="F34" s="810">
        <v>82</v>
      </c>
      <c r="G34" s="812">
        <v>83.6</v>
      </c>
      <c r="H34" s="951">
        <f t="shared" si="12"/>
        <v>400.4</v>
      </c>
      <c r="I34" s="815">
        <f t="shared" si="14"/>
        <v>0</v>
      </c>
      <c r="J34" s="861"/>
      <c r="K34" s="861"/>
      <c r="L34" s="861"/>
      <c r="M34" s="1092" t="s">
        <v>21</v>
      </c>
      <c r="N34" s="1093"/>
      <c r="O34" s="813">
        <v>5.7</v>
      </c>
      <c r="P34" s="813">
        <v>5.7</v>
      </c>
      <c r="Q34" s="813">
        <v>0.7</v>
      </c>
      <c r="R34" s="813">
        <v>6.2</v>
      </c>
      <c r="S34" s="813">
        <v>6.4</v>
      </c>
      <c r="T34" s="994">
        <v>6.2</v>
      </c>
      <c r="U34" s="1005">
        <f t="shared" si="13"/>
        <v>30.900000000000002</v>
      </c>
      <c r="V34" s="815">
        <f t="shared" si="15"/>
        <v>0.10000000000000142</v>
      </c>
      <c r="W34" s="866"/>
    </row>
    <row r="35" spans="1:26" x14ac:dyDescent="0.25">
      <c r="A35" s="808" t="s">
        <v>22</v>
      </c>
      <c r="B35" s="809">
        <v>76.099999999999994</v>
      </c>
      <c r="C35" s="810">
        <v>74.400000000000006</v>
      </c>
      <c r="D35" s="868">
        <v>3.8</v>
      </c>
      <c r="E35" s="810">
        <v>80.400000000000006</v>
      </c>
      <c r="F35" s="810">
        <v>82</v>
      </c>
      <c r="G35" s="812">
        <v>83.5</v>
      </c>
      <c r="H35" s="817">
        <f t="shared" si="12"/>
        <v>400.20000000000005</v>
      </c>
      <c r="I35" s="815">
        <f t="shared" si="14"/>
        <v>-0.19999999999993179</v>
      </c>
      <c r="J35" s="851"/>
      <c r="K35" s="851"/>
      <c r="L35" s="851"/>
      <c r="M35" s="1092" t="s">
        <v>22</v>
      </c>
      <c r="N35" s="1093"/>
      <c r="O35" s="813">
        <v>5.8</v>
      </c>
      <c r="P35" s="813">
        <v>5.7</v>
      </c>
      <c r="Q35" s="813">
        <v>0.7</v>
      </c>
      <c r="R35" s="813">
        <v>6.2</v>
      </c>
      <c r="S35" s="813">
        <v>6.5</v>
      </c>
      <c r="T35" s="994">
        <v>6.2</v>
      </c>
      <c r="U35" s="995">
        <f t="shared" si="13"/>
        <v>31.099999999999998</v>
      </c>
      <c r="V35" s="815">
        <f t="shared" si="15"/>
        <v>0.19999999999999574</v>
      </c>
      <c r="W35" s="866"/>
    </row>
    <row r="36" spans="1:26" ht="15.75" thickBot="1" x14ac:dyDescent="0.3">
      <c r="A36" s="808" t="s">
        <v>23</v>
      </c>
      <c r="B36" s="809">
        <v>76.099999999999994</v>
      </c>
      <c r="C36" s="810">
        <v>74.400000000000006</v>
      </c>
      <c r="D36" s="954">
        <v>3.8</v>
      </c>
      <c r="E36" s="810">
        <v>80.400000000000006</v>
      </c>
      <c r="F36" s="810">
        <v>82</v>
      </c>
      <c r="G36" s="812">
        <v>83.5</v>
      </c>
      <c r="H36" s="928">
        <f t="shared" si="12"/>
        <v>400.20000000000005</v>
      </c>
      <c r="I36" s="815">
        <f t="shared" si="14"/>
        <v>0</v>
      </c>
      <c r="J36" s="779"/>
      <c r="K36" s="779"/>
      <c r="L36" s="779"/>
      <c r="M36" s="1092" t="s">
        <v>23</v>
      </c>
      <c r="N36" s="1093"/>
      <c r="O36" s="813">
        <v>5.8</v>
      </c>
      <c r="P36" s="813">
        <v>5.7</v>
      </c>
      <c r="Q36" s="813">
        <v>0.7</v>
      </c>
      <c r="R36" s="813">
        <v>6.3</v>
      </c>
      <c r="S36" s="813">
        <v>6.5</v>
      </c>
      <c r="T36" s="994">
        <v>6.2</v>
      </c>
      <c r="U36" s="996">
        <f t="shared" si="13"/>
        <v>31.2</v>
      </c>
      <c r="V36" s="815">
        <f t="shared" si="15"/>
        <v>0.10000000000000142</v>
      </c>
      <c r="W36" s="866"/>
      <c r="Z36" s="871"/>
    </row>
    <row r="37" spans="1:26" ht="15.75" thickBot="1" x14ac:dyDescent="0.3">
      <c r="A37" s="800" t="s">
        <v>9</v>
      </c>
      <c r="B37" s="933">
        <f t="shared" ref="B37:G37" si="16">SUM(B30:B36)</f>
        <v>533.1</v>
      </c>
      <c r="C37" s="934">
        <f t="shared" si="16"/>
        <v>521</v>
      </c>
      <c r="D37" s="934">
        <f>SUM(D30:D36)</f>
        <v>25.400000000000002</v>
      </c>
      <c r="E37" s="934">
        <f t="shared" si="16"/>
        <v>565.4</v>
      </c>
      <c r="F37" s="934">
        <f t="shared" si="16"/>
        <v>575</v>
      </c>
      <c r="G37" s="939">
        <f t="shared" si="16"/>
        <v>585.9</v>
      </c>
      <c r="H37" s="940">
        <f t="shared" si="12"/>
        <v>2805.8</v>
      </c>
      <c r="I37" s="872"/>
      <c r="J37" s="851"/>
      <c r="K37" s="851"/>
      <c r="L37" s="851"/>
      <c r="M37" s="1090" t="s">
        <v>9</v>
      </c>
      <c r="N37" s="1091"/>
      <c r="O37" s="933">
        <f t="shared" ref="O37:T37" si="17">SUM(O30:O36)</f>
        <v>40.299999999999997</v>
      </c>
      <c r="P37" s="934">
        <f t="shared" si="17"/>
        <v>40</v>
      </c>
      <c r="Q37" s="934">
        <f t="shared" si="17"/>
        <v>4.5</v>
      </c>
      <c r="R37" s="934">
        <f t="shared" si="17"/>
        <v>44.099999999999994</v>
      </c>
      <c r="S37" s="934">
        <f t="shared" si="17"/>
        <v>45.199999999999996</v>
      </c>
      <c r="T37" s="939">
        <f t="shared" si="17"/>
        <v>43.400000000000006</v>
      </c>
      <c r="U37" s="935">
        <f t="shared" si="13"/>
        <v>217.49999999999997</v>
      </c>
      <c r="V37" s="851"/>
      <c r="W37" s="779"/>
    </row>
    <row r="38" spans="1:26" x14ac:dyDescent="0.25">
      <c r="A38" s="828" t="s">
        <v>11</v>
      </c>
      <c r="B38" s="936">
        <v>152.82</v>
      </c>
      <c r="C38" s="937">
        <v>152.82</v>
      </c>
      <c r="D38" s="937">
        <v>152.82</v>
      </c>
      <c r="E38" s="937">
        <v>152.82</v>
      </c>
      <c r="F38" s="937">
        <v>152.82</v>
      </c>
      <c r="G38" s="938">
        <v>152.82</v>
      </c>
      <c r="H38" s="929">
        <f>+((H37/H39)/7)*1000</f>
        <v>152.40630092341121</v>
      </c>
      <c r="I38" s="872"/>
      <c r="J38" s="851"/>
      <c r="K38" s="851"/>
      <c r="L38" s="851"/>
      <c r="M38" s="1062" t="s">
        <v>11</v>
      </c>
      <c r="N38" s="1063"/>
      <c r="O38" s="943">
        <v>155.5</v>
      </c>
      <c r="P38" s="930">
        <v>154.5</v>
      </c>
      <c r="Q38" s="930">
        <v>160</v>
      </c>
      <c r="R38" s="930">
        <v>157.5</v>
      </c>
      <c r="S38" s="930">
        <v>157.5</v>
      </c>
      <c r="T38" s="931">
        <v>159</v>
      </c>
      <c r="U38" s="929">
        <f>+((U37/U39)/7)*1000</f>
        <v>156.92640692640691</v>
      </c>
      <c r="V38" s="877"/>
    </row>
    <row r="39" spans="1:26" x14ac:dyDescent="0.25">
      <c r="A39" s="833" t="s">
        <v>12</v>
      </c>
      <c r="B39" s="834">
        <v>499</v>
      </c>
      <c r="C39" s="835">
        <v>487</v>
      </c>
      <c r="D39" s="835">
        <v>23</v>
      </c>
      <c r="E39" s="835">
        <v>532</v>
      </c>
      <c r="F39" s="835">
        <v>541</v>
      </c>
      <c r="G39" s="836">
        <v>548</v>
      </c>
      <c r="H39" s="878">
        <f>SUM(B39:G39)</f>
        <v>2630</v>
      </c>
      <c r="I39" s="872"/>
      <c r="J39" s="779"/>
      <c r="K39" s="779"/>
      <c r="L39" s="851"/>
      <c r="M39" s="1064" t="s">
        <v>12</v>
      </c>
      <c r="N39" s="1065"/>
      <c r="O39" s="944">
        <v>37</v>
      </c>
      <c r="P39" s="879">
        <v>37</v>
      </c>
      <c r="Q39" s="879">
        <v>4</v>
      </c>
      <c r="R39" s="879">
        <v>40</v>
      </c>
      <c r="S39" s="879">
        <v>41</v>
      </c>
      <c r="T39" s="959">
        <v>39</v>
      </c>
      <c r="U39" s="880">
        <f>SUM(O39:T39)</f>
        <v>198</v>
      </c>
      <c r="V39" s="881"/>
    </row>
    <row r="40" spans="1:26" x14ac:dyDescent="0.25">
      <c r="A40" s="838" t="s">
        <v>13</v>
      </c>
      <c r="B40" s="839">
        <f>((((B38*7)*B39)/1000-B30)/6)</f>
        <v>76.250043333333323</v>
      </c>
      <c r="C40" s="842">
        <f t="shared" ref="C40:G40" si="18">((((C38*7)*C39)/1000-C30)/6)</f>
        <v>74.410563333333343</v>
      </c>
      <c r="D40" s="842">
        <f t="shared" si="18"/>
        <v>3.6006700000000005</v>
      </c>
      <c r="E40" s="842">
        <f t="shared" si="18"/>
        <v>81.233613333333352</v>
      </c>
      <c r="F40" s="842">
        <f t="shared" si="18"/>
        <v>82.704889999999992</v>
      </c>
      <c r="G40" s="843">
        <f t="shared" si="18"/>
        <v>83.702920000000006</v>
      </c>
      <c r="H40" s="882">
        <f>((H37*1000)/H39)/7</f>
        <v>152.40630092341118</v>
      </c>
      <c r="I40" s="883"/>
      <c r="J40" s="883"/>
      <c r="K40" s="779"/>
      <c r="L40" s="851"/>
      <c r="M40" s="1066" t="s">
        <v>13</v>
      </c>
      <c r="N40" s="1067"/>
      <c r="O40" s="913">
        <f>((((O38*7)*O39)/1000/7))</f>
        <v>5.7535000000000007</v>
      </c>
      <c r="P40" s="842">
        <f t="shared" ref="P40:T40" si="19">((((P38*7)*P39)/1000-P30-P31)/5)</f>
        <v>5.6831000000000014</v>
      </c>
      <c r="Q40" s="842">
        <f t="shared" si="19"/>
        <v>0.65600000000000003</v>
      </c>
      <c r="R40" s="842">
        <f t="shared" si="19"/>
        <v>6.2200000000000006</v>
      </c>
      <c r="S40" s="842">
        <f t="shared" si="19"/>
        <v>6.4405000000000001</v>
      </c>
      <c r="T40" s="843">
        <f t="shared" si="19"/>
        <v>6.2013999999999987</v>
      </c>
      <c r="U40" s="884">
        <f>((U37*1000)/U39)/7</f>
        <v>156.92640692640688</v>
      </c>
      <c r="V40" s="885"/>
    </row>
    <row r="41" spans="1:26" x14ac:dyDescent="0.25">
      <c r="A41" s="841" t="s">
        <v>14</v>
      </c>
      <c r="B41" s="839">
        <f>((B39*B38)*7)/1000</f>
        <v>533.80025999999998</v>
      </c>
      <c r="C41" s="842">
        <f t="shared" ref="C41:G41" si="20">((C39*C38)*7)/1000</f>
        <v>520.96338000000003</v>
      </c>
      <c r="D41" s="842">
        <f t="shared" si="20"/>
        <v>24.604019999999998</v>
      </c>
      <c r="E41" s="842">
        <f t="shared" si="20"/>
        <v>569.10167999999999</v>
      </c>
      <c r="F41" s="842">
        <f t="shared" si="20"/>
        <v>578.72933999999998</v>
      </c>
      <c r="G41" s="843">
        <f t="shared" si="20"/>
        <v>586.21752000000004</v>
      </c>
      <c r="H41" s="886"/>
      <c r="I41" s="780"/>
      <c r="J41" s="780"/>
      <c r="K41" s="779"/>
      <c r="L41" s="851"/>
      <c r="M41" s="1068" t="s">
        <v>14</v>
      </c>
      <c r="N41" s="1069"/>
      <c r="O41" s="913">
        <f t="shared" ref="O41:T41" si="21">((O39*O38)*7)/1000</f>
        <v>40.274500000000003</v>
      </c>
      <c r="P41" s="842">
        <f t="shared" si="21"/>
        <v>40.015500000000003</v>
      </c>
      <c r="Q41" s="842">
        <f t="shared" si="21"/>
        <v>4.4800000000000004</v>
      </c>
      <c r="R41" s="842">
        <f t="shared" si="21"/>
        <v>44.1</v>
      </c>
      <c r="S41" s="842">
        <f t="shared" si="21"/>
        <v>45.202500000000001</v>
      </c>
      <c r="T41" s="843">
        <f t="shared" si="21"/>
        <v>43.406999999999996</v>
      </c>
      <c r="U41" s="844"/>
    </row>
    <row r="42" spans="1:26" ht="15.75" thickBot="1" x14ac:dyDescent="0.3">
      <c r="A42" s="887" t="s">
        <v>15</v>
      </c>
      <c r="B42" s="846">
        <f t="shared" ref="B42:G42" si="22">+(B37/B39)/7*1000</f>
        <v>152.61952476381336</v>
      </c>
      <c r="C42" s="847">
        <f t="shared" si="22"/>
        <v>152.83074215312408</v>
      </c>
      <c r="D42" s="847">
        <f t="shared" si="22"/>
        <v>157.76397515527952</v>
      </c>
      <c r="E42" s="847">
        <f t="shared" si="22"/>
        <v>151.82599355531684</v>
      </c>
      <c r="F42" s="847">
        <f t="shared" si="22"/>
        <v>151.83522577237918</v>
      </c>
      <c r="G42" s="848">
        <f t="shared" si="22"/>
        <v>152.73722627737226</v>
      </c>
      <c r="H42" s="888"/>
      <c r="I42" s="779"/>
      <c r="J42" s="779"/>
      <c r="K42" s="883" t="s">
        <v>133</v>
      </c>
      <c r="L42" s="851"/>
      <c r="M42" s="1070" t="s">
        <v>15</v>
      </c>
      <c r="N42" s="1071"/>
      <c r="O42" s="916">
        <f t="shared" ref="O42:T42" si="23">+(O37/O39)/7*1000</f>
        <v>155.59845559845559</v>
      </c>
      <c r="P42" s="847">
        <f t="shared" si="23"/>
        <v>154.44015444015443</v>
      </c>
      <c r="Q42" s="847">
        <f t="shared" si="23"/>
        <v>160.71428571428572</v>
      </c>
      <c r="R42" s="847">
        <f t="shared" si="23"/>
        <v>157.49999999999997</v>
      </c>
      <c r="S42" s="847">
        <f t="shared" si="23"/>
        <v>157.49128919860624</v>
      </c>
      <c r="T42" s="848">
        <f t="shared" si="23"/>
        <v>158.97435897435901</v>
      </c>
      <c r="U42" s="889"/>
      <c r="V42" s="851"/>
    </row>
    <row r="43" spans="1:26" x14ac:dyDescent="0.25">
      <c r="A43" s="779"/>
      <c r="B43" s="850">
        <f t="shared" ref="B43:G43" si="24">B41-B37</f>
        <v>0.70025999999995747</v>
      </c>
      <c r="C43" s="850">
        <f t="shared" si="24"/>
        <v>-3.6619999999970787E-2</v>
      </c>
      <c r="D43" s="850">
        <f t="shared" si="24"/>
        <v>-0.79598000000000368</v>
      </c>
      <c r="E43" s="850">
        <f t="shared" si="24"/>
        <v>3.7016800000000103</v>
      </c>
      <c r="F43" s="850">
        <f t="shared" si="24"/>
        <v>3.7293399999999792</v>
      </c>
      <c r="G43" s="850">
        <f t="shared" si="24"/>
        <v>0.31752000000005864</v>
      </c>
      <c r="H43" s="779"/>
      <c r="I43" s="779"/>
      <c r="J43" s="779"/>
      <c r="K43" s="780"/>
      <c r="L43" s="779"/>
      <c r="M43" s="779"/>
      <c r="N43" s="851"/>
      <c r="O43" s="850">
        <f t="shared" ref="O43:T44" si="25">O41-O37</f>
        <v>-2.5499999999993861E-2</v>
      </c>
      <c r="P43" s="850">
        <f t="shared" si="25"/>
        <v>1.5500000000002956E-2</v>
      </c>
      <c r="Q43" s="850">
        <f t="shared" si="25"/>
        <v>-1.9999999999999574E-2</v>
      </c>
      <c r="R43" s="850">
        <f t="shared" si="25"/>
        <v>0</v>
      </c>
      <c r="S43" s="850">
        <f t="shared" si="25"/>
        <v>2.5000000000048317E-3</v>
      </c>
      <c r="T43" s="850">
        <f t="shared" si="25"/>
        <v>6.9999999999907914E-3</v>
      </c>
    </row>
    <row r="44" spans="1:26" x14ac:dyDescent="0.25">
      <c r="A44" s="779"/>
      <c r="B44" s="850"/>
      <c r="C44" s="850"/>
      <c r="D44" s="850"/>
      <c r="E44" s="850"/>
      <c r="F44" s="850"/>
      <c r="G44" s="850"/>
      <c r="H44" s="779"/>
      <c r="I44" s="779"/>
      <c r="J44" s="779"/>
      <c r="K44" s="780"/>
      <c r="L44" s="779"/>
      <c r="M44" s="779"/>
      <c r="N44" s="851"/>
      <c r="O44" s="850">
        <f>O42-O38</f>
        <v>9.8455598455586824E-2</v>
      </c>
      <c r="P44" s="850">
        <f t="shared" si="25"/>
        <v>-5.9845559845570051E-2</v>
      </c>
      <c r="Q44" s="850">
        <f>Q42-Q38</f>
        <v>0.71428571428572241</v>
      </c>
      <c r="R44" s="850">
        <f t="shared" si="25"/>
        <v>0</v>
      </c>
      <c r="S44" s="850">
        <f t="shared" si="25"/>
        <v>-8.710801393760903E-3</v>
      </c>
      <c r="T44" s="850">
        <f t="shared" si="25"/>
        <v>-2.5641025640993576E-2</v>
      </c>
    </row>
    <row r="45" spans="1:26" x14ac:dyDescent="0.25">
      <c r="A45" s="779"/>
      <c r="B45" s="922">
        <f>(B43+B47)/$A$2</f>
        <v>0.70025999999995747</v>
      </c>
      <c r="C45" s="922">
        <f t="shared" ref="C45:G45" si="26">(C43+C47)/$A$2</f>
        <v>-3.6619999999970787E-2</v>
      </c>
      <c r="D45" s="922">
        <f>(D43+D47)/$A$2</f>
        <v>-0.79598000000000368</v>
      </c>
      <c r="E45" s="922">
        <f t="shared" si="26"/>
        <v>3.7016800000000103</v>
      </c>
      <c r="F45" s="922">
        <f t="shared" si="26"/>
        <v>3.7293399999999792</v>
      </c>
      <c r="G45" s="922">
        <f t="shared" si="26"/>
        <v>0.31752000000005864</v>
      </c>
      <c r="I45" s="779"/>
      <c r="J45" s="779"/>
      <c r="K45" s="779"/>
      <c r="L45" s="779"/>
      <c r="M45" s="851"/>
      <c r="N45" s="851"/>
      <c r="O45" s="922">
        <f t="shared" ref="O45:T45" si="27">(O43+O47)/$A$2</f>
        <v>-2.5499999999993861E-2</v>
      </c>
      <c r="P45" s="922">
        <f t="shared" si="27"/>
        <v>1.5500000000002956E-2</v>
      </c>
      <c r="Q45" s="922">
        <f t="shared" si="27"/>
        <v>-1.9999999999999574E-2</v>
      </c>
      <c r="R45" s="922">
        <f t="shared" si="27"/>
        <v>0</v>
      </c>
      <c r="S45" s="922">
        <f t="shared" si="27"/>
        <v>2.5000000000048317E-3</v>
      </c>
      <c r="T45" s="922">
        <f t="shared" si="27"/>
        <v>6.9999999999907914E-3</v>
      </c>
      <c r="V45" s="779"/>
    </row>
    <row r="46" spans="1:26" x14ac:dyDescent="0.25">
      <c r="A46" s="779"/>
      <c r="B46" s="922">
        <f>B45 + SUMIF($A$30:$A$36, $A$3,B30:B36)</f>
        <v>76.800259999999952</v>
      </c>
      <c r="C46" s="922">
        <f t="shared" ref="C46:F46" si="28">C45 + SUMIF($A$30:$A$36, $A$3,C30:C36)</f>
        <v>74.363380000000035</v>
      </c>
      <c r="D46" s="922">
        <f t="shared" si="28"/>
        <v>3.0040199999999961</v>
      </c>
      <c r="E46" s="922">
        <f t="shared" si="28"/>
        <v>84.101680000000016</v>
      </c>
      <c r="F46" s="922">
        <f t="shared" si="28"/>
        <v>85.729339999999979</v>
      </c>
      <c r="G46" s="922">
        <f>G45 + SUMIF($A$30:$A$36, $A$3,G30:G36)</f>
        <v>83.817520000000059</v>
      </c>
      <c r="H46" s="779"/>
      <c r="I46" s="851"/>
      <c r="K46" s="779"/>
      <c r="L46" s="779"/>
      <c r="M46" s="779"/>
      <c r="N46" s="779"/>
      <c r="O46" s="922">
        <f ca="1">O45 + SUMIF($M$30:$N$36, $A$3,O30:O36)</f>
        <v>5.774500000000006</v>
      </c>
      <c r="P46" s="922">
        <f t="shared" ref="P46:T46" ca="1" si="29">P45 + SUMIF($M$30:$N$36, $A$3,P30:P36)</f>
        <v>5.7155000000000031</v>
      </c>
      <c r="Q46" s="922">
        <f t="shared" ca="1" si="29"/>
        <v>0.68000000000000038</v>
      </c>
      <c r="R46" s="922">
        <f t="shared" ca="1" si="29"/>
        <v>6.3</v>
      </c>
      <c r="S46" s="922">
        <f t="shared" ca="1" si="29"/>
        <v>6.5025000000000048</v>
      </c>
      <c r="T46" s="922">
        <f t="shared" ca="1" si="29"/>
        <v>6.206999999999991</v>
      </c>
      <c r="U46" s="779"/>
      <c r="V46" s="779"/>
      <c r="W46" s="779"/>
    </row>
    <row r="47" spans="1:26" x14ac:dyDescent="0.25">
      <c r="A47" s="779"/>
      <c r="B47" s="851"/>
      <c r="C47" s="851"/>
      <c r="D47" s="851"/>
      <c r="E47" s="851"/>
      <c r="F47" s="851"/>
      <c r="G47" s="851"/>
      <c r="H47" s="851"/>
      <c r="I47" s="851"/>
      <c r="K47" s="779"/>
      <c r="L47" s="779"/>
      <c r="M47" s="779"/>
      <c r="N47" s="779"/>
      <c r="O47" s="851"/>
      <c r="P47" s="851"/>
      <c r="Q47" s="851"/>
      <c r="R47" s="851"/>
      <c r="S47" s="851"/>
      <c r="T47" s="851"/>
      <c r="U47" s="851"/>
      <c r="V47" s="851"/>
      <c r="W47" s="779"/>
    </row>
    <row r="48" spans="1:26" ht="15.75" thickBot="1" x14ac:dyDescent="0.3">
      <c r="A48" s="779"/>
      <c r="B48" s="851"/>
      <c r="C48" s="851"/>
      <c r="D48" s="851"/>
      <c r="E48" s="851"/>
      <c r="F48" s="851"/>
      <c r="G48" s="851"/>
      <c r="H48" s="851"/>
      <c r="I48" s="851"/>
      <c r="K48" s="779"/>
      <c r="L48" s="779"/>
      <c r="M48" s="779"/>
      <c r="N48" s="779"/>
      <c r="O48" s="851"/>
      <c r="P48" s="851"/>
      <c r="Q48" s="851"/>
      <c r="R48" s="851"/>
      <c r="S48" s="851"/>
      <c r="T48" s="851"/>
      <c r="U48" s="851"/>
      <c r="V48" s="851"/>
      <c r="W48" s="779"/>
    </row>
    <row r="49" spans="1:25" ht="15.75" thickBot="1" x14ac:dyDescent="0.3">
      <c r="A49" s="784" t="s">
        <v>19</v>
      </c>
      <c r="B49" s="1084" t="s">
        <v>113</v>
      </c>
      <c r="C49" s="1085"/>
      <c r="D49" s="1085"/>
      <c r="E49" s="1085"/>
      <c r="F49" s="1085"/>
      <c r="G49" s="1085"/>
      <c r="H49" s="1085"/>
      <c r="I49" s="1075" t="s">
        <v>63</v>
      </c>
      <c r="J49" s="1076"/>
      <c r="K49" s="1076"/>
      <c r="L49" s="1076"/>
      <c r="M49" s="1076"/>
      <c r="N49" s="1076"/>
      <c r="O49" s="1076"/>
      <c r="P49" s="1078" t="s">
        <v>8</v>
      </c>
      <c r="Q49" s="1079"/>
      <c r="R49" s="1079"/>
      <c r="S49" s="1079"/>
      <c r="T49" s="1079"/>
      <c r="U49" s="1079"/>
      <c r="V49" s="1080"/>
      <c r="W49" s="785"/>
    </row>
    <row r="50" spans="1:25" ht="15.75" thickBot="1" x14ac:dyDescent="0.3">
      <c r="A50" s="892" t="s">
        <v>10</v>
      </c>
      <c r="B50" s="801">
        <v>1</v>
      </c>
      <c r="C50" s="802">
        <v>2</v>
      </c>
      <c r="D50" s="802">
        <v>3</v>
      </c>
      <c r="E50" s="802">
        <v>4</v>
      </c>
      <c r="F50" s="802">
        <v>5</v>
      </c>
      <c r="G50" s="802">
        <v>6</v>
      </c>
      <c r="H50" s="805">
        <v>7</v>
      </c>
      <c r="I50" s="801">
        <v>1</v>
      </c>
      <c r="J50" s="802">
        <v>2</v>
      </c>
      <c r="K50" s="802">
        <v>3</v>
      </c>
      <c r="L50" s="802">
        <v>4</v>
      </c>
      <c r="M50" s="802">
        <v>5</v>
      </c>
      <c r="N50" s="802">
        <v>6</v>
      </c>
      <c r="O50" s="803">
        <v>7</v>
      </c>
      <c r="P50" s="801">
        <v>1</v>
      </c>
      <c r="Q50" s="802">
        <v>2</v>
      </c>
      <c r="R50" s="802">
        <v>3</v>
      </c>
      <c r="S50" s="802">
        <v>4</v>
      </c>
      <c r="T50" s="802">
        <v>5</v>
      </c>
      <c r="U50" s="802">
        <v>6</v>
      </c>
      <c r="V50" s="803">
        <v>7</v>
      </c>
      <c r="W50" s="797" t="s">
        <v>9</v>
      </c>
    </row>
    <row r="51" spans="1:25" ht="15.75" thickBot="1" x14ac:dyDescent="0.3">
      <c r="A51" s="892" t="s">
        <v>10</v>
      </c>
      <c r="B51" s="997">
        <v>7</v>
      </c>
      <c r="C51" s="998">
        <v>6.5</v>
      </c>
      <c r="D51" s="998">
        <v>6.8</v>
      </c>
      <c r="E51" s="998">
        <v>1.4</v>
      </c>
      <c r="F51" s="998">
        <v>7</v>
      </c>
      <c r="G51" s="998">
        <v>7.1</v>
      </c>
      <c r="H51" s="999">
        <v>7</v>
      </c>
      <c r="I51" s="997">
        <v>7.2</v>
      </c>
      <c r="J51" s="998">
        <v>7.2</v>
      </c>
      <c r="K51" s="998">
        <v>7.3</v>
      </c>
      <c r="L51" s="998">
        <v>1.5</v>
      </c>
      <c r="M51" s="976">
        <v>7.2</v>
      </c>
      <c r="N51" s="998">
        <v>7.2</v>
      </c>
      <c r="O51" s="999">
        <v>7</v>
      </c>
      <c r="P51" s="997">
        <v>7.3</v>
      </c>
      <c r="Q51" s="998">
        <v>7.3</v>
      </c>
      <c r="R51" s="998">
        <v>7.2</v>
      </c>
      <c r="S51" s="998">
        <v>1.6</v>
      </c>
      <c r="T51" s="998">
        <v>7.2</v>
      </c>
      <c r="U51" s="998">
        <v>7.2</v>
      </c>
      <c r="V51" s="999">
        <v>6.7</v>
      </c>
      <c r="W51" s="990">
        <f t="shared" ref="W51" si="30">SUM(B51:V51)</f>
        <v>131.9</v>
      </c>
    </row>
    <row r="52" spans="1:25" x14ac:dyDescent="0.25">
      <c r="A52" s="808" t="s">
        <v>51</v>
      </c>
      <c r="B52" s="893">
        <v>7</v>
      </c>
      <c r="C52" s="894">
        <v>6.5</v>
      </c>
      <c r="D52" s="894">
        <v>6.8</v>
      </c>
      <c r="E52" s="894">
        <v>1.4</v>
      </c>
      <c r="F52" s="894">
        <v>7</v>
      </c>
      <c r="G52" s="894">
        <v>7</v>
      </c>
      <c r="H52" s="895">
        <v>7</v>
      </c>
      <c r="I52" s="893">
        <v>7.2</v>
      </c>
      <c r="J52" s="894">
        <v>7.2</v>
      </c>
      <c r="K52" s="894">
        <v>7.3</v>
      </c>
      <c r="L52" s="894">
        <v>1.5</v>
      </c>
      <c r="M52" s="1000">
        <v>7.2</v>
      </c>
      <c r="N52" s="894">
        <v>7.2</v>
      </c>
      <c r="O52" s="895">
        <v>7</v>
      </c>
      <c r="P52" s="893">
        <v>7.3</v>
      </c>
      <c r="Q52" s="894">
        <v>7.3</v>
      </c>
      <c r="R52" s="894">
        <v>7.2</v>
      </c>
      <c r="S52" s="894">
        <v>1.6</v>
      </c>
      <c r="T52" s="894">
        <v>7.2</v>
      </c>
      <c r="U52" s="894">
        <v>7.2</v>
      </c>
      <c r="V52" s="895">
        <v>6.7</v>
      </c>
      <c r="W52" s="952">
        <f t="shared" ref="W52:W58" si="31">SUM(B52:V52)</f>
        <v>131.80000000000001</v>
      </c>
      <c r="X52" s="815">
        <f>W52-W51</f>
        <v>-9.9999999999994316E-2</v>
      </c>
      <c r="Y52" s="815"/>
    </row>
    <row r="53" spans="1:25" x14ac:dyDescent="0.25">
      <c r="A53" s="808" t="s">
        <v>24</v>
      </c>
      <c r="B53" s="897">
        <v>7</v>
      </c>
      <c r="C53" s="898">
        <v>6.5</v>
      </c>
      <c r="D53" s="898">
        <v>6.8</v>
      </c>
      <c r="E53" s="898">
        <v>1.4</v>
      </c>
      <c r="F53" s="898">
        <v>7</v>
      </c>
      <c r="G53" s="898">
        <v>7</v>
      </c>
      <c r="H53" s="899">
        <v>7</v>
      </c>
      <c r="I53" s="897">
        <v>7.2</v>
      </c>
      <c r="J53" s="898">
        <v>7.2</v>
      </c>
      <c r="K53" s="898">
        <v>7.3</v>
      </c>
      <c r="L53" s="898">
        <v>1.5</v>
      </c>
      <c r="M53" s="898">
        <v>7.1</v>
      </c>
      <c r="N53" s="898">
        <v>7.2</v>
      </c>
      <c r="O53" s="899">
        <v>7</v>
      </c>
      <c r="P53" s="897">
        <v>7.3</v>
      </c>
      <c r="Q53" s="898">
        <v>7.3</v>
      </c>
      <c r="R53" s="898">
        <v>7.2</v>
      </c>
      <c r="S53" s="898">
        <v>1.6</v>
      </c>
      <c r="T53" s="898">
        <v>7.2</v>
      </c>
      <c r="U53" s="898">
        <v>7.2</v>
      </c>
      <c r="V53" s="899">
        <v>6.7</v>
      </c>
      <c r="W53" s="952">
        <f t="shared" si="31"/>
        <v>131.69999999999999</v>
      </c>
      <c r="X53" s="815">
        <f>W53-W52</f>
        <v>-0.10000000000002274</v>
      </c>
      <c r="Y53" s="815"/>
    </row>
    <row r="54" spans="1:25" x14ac:dyDescent="0.25">
      <c r="A54" s="808" t="s">
        <v>20</v>
      </c>
      <c r="B54" s="809">
        <v>6.9</v>
      </c>
      <c r="C54" s="810">
        <v>6.4</v>
      </c>
      <c r="D54" s="810">
        <v>6.7</v>
      </c>
      <c r="E54" s="810">
        <v>1.2</v>
      </c>
      <c r="F54" s="810">
        <v>6.9</v>
      </c>
      <c r="G54" s="810">
        <v>6.8</v>
      </c>
      <c r="H54" s="812">
        <v>6.8</v>
      </c>
      <c r="I54" s="809">
        <v>7.1</v>
      </c>
      <c r="J54" s="810">
        <v>7.1</v>
      </c>
      <c r="K54" s="810">
        <v>7.2</v>
      </c>
      <c r="L54" s="810">
        <v>1.4</v>
      </c>
      <c r="M54" s="810">
        <v>6.8</v>
      </c>
      <c r="N54" s="810">
        <v>7.2</v>
      </c>
      <c r="O54" s="812">
        <v>6.8</v>
      </c>
      <c r="P54" s="809">
        <v>7.1</v>
      </c>
      <c r="Q54" s="810">
        <v>7.1</v>
      </c>
      <c r="R54" s="810">
        <v>7</v>
      </c>
      <c r="S54" s="810">
        <v>1.3</v>
      </c>
      <c r="T54" s="810">
        <v>7</v>
      </c>
      <c r="U54" s="810">
        <v>7.1</v>
      </c>
      <c r="V54" s="812">
        <v>6.7</v>
      </c>
      <c r="W54" s="952">
        <f t="shared" si="31"/>
        <v>128.59999999999997</v>
      </c>
      <c r="X54" s="815">
        <f t="shared" ref="X54:X58" si="32">W54-W53</f>
        <v>-3.1000000000000227</v>
      </c>
      <c r="Y54" s="815"/>
    </row>
    <row r="55" spans="1:25" x14ac:dyDescent="0.25">
      <c r="A55" s="808" t="s">
        <v>28</v>
      </c>
      <c r="B55" s="809">
        <v>6.9</v>
      </c>
      <c r="C55" s="810">
        <v>6.4</v>
      </c>
      <c r="D55" s="810">
        <v>6.7</v>
      </c>
      <c r="E55" s="810">
        <v>1.2</v>
      </c>
      <c r="F55" s="810">
        <v>6.9</v>
      </c>
      <c r="G55" s="810">
        <v>6.8</v>
      </c>
      <c r="H55" s="812">
        <v>6.8</v>
      </c>
      <c r="I55" s="809">
        <v>7.1</v>
      </c>
      <c r="J55" s="810">
        <v>7.1</v>
      </c>
      <c r="K55" s="810">
        <v>7.2</v>
      </c>
      <c r="L55" s="810">
        <v>1.4</v>
      </c>
      <c r="M55" s="810">
        <v>6.8</v>
      </c>
      <c r="N55" s="810">
        <v>7.2</v>
      </c>
      <c r="O55" s="812">
        <v>6.8</v>
      </c>
      <c r="P55" s="809">
        <v>7.2</v>
      </c>
      <c r="Q55" s="810">
        <v>7.2</v>
      </c>
      <c r="R55" s="810">
        <v>7</v>
      </c>
      <c r="S55" s="810">
        <v>1.4</v>
      </c>
      <c r="T55" s="810">
        <v>7</v>
      </c>
      <c r="U55" s="810">
        <v>7.1</v>
      </c>
      <c r="V55" s="812">
        <v>6.7</v>
      </c>
      <c r="W55" s="952">
        <f t="shared" si="31"/>
        <v>128.9</v>
      </c>
      <c r="X55" s="815">
        <f t="shared" si="32"/>
        <v>0.30000000000003979</v>
      </c>
      <c r="Y55" s="815"/>
    </row>
    <row r="56" spans="1:25" x14ac:dyDescent="0.25">
      <c r="A56" s="808" t="s">
        <v>21</v>
      </c>
      <c r="B56" s="809">
        <v>6.9</v>
      </c>
      <c r="C56" s="810">
        <v>6.4</v>
      </c>
      <c r="D56" s="810">
        <v>6.7</v>
      </c>
      <c r="E56" s="810">
        <v>1.2</v>
      </c>
      <c r="F56" s="810">
        <v>6.9</v>
      </c>
      <c r="G56" s="810">
        <v>6.8</v>
      </c>
      <c r="H56" s="812">
        <v>6.8</v>
      </c>
      <c r="I56" s="809">
        <v>7.1</v>
      </c>
      <c r="J56" s="810">
        <v>7.1</v>
      </c>
      <c r="K56" s="810">
        <v>7.3</v>
      </c>
      <c r="L56" s="810">
        <v>1.4</v>
      </c>
      <c r="M56" s="810">
        <v>6.8</v>
      </c>
      <c r="N56" s="810">
        <v>7.2</v>
      </c>
      <c r="O56" s="812">
        <v>6.8</v>
      </c>
      <c r="P56" s="809">
        <v>7.2</v>
      </c>
      <c r="Q56" s="810">
        <v>7.2</v>
      </c>
      <c r="R56" s="810">
        <v>7</v>
      </c>
      <c r="S56" s="810">
        <v>1.4</v>
      </c>
      <c r="T56" s="810">
        <v>7</v>
      </c>
      <c r="U56" s="810">
        <v>7.2</v>
      </c>
      <c r="V56" s="812">
        <v>6.7</v>
      </c>
      <c r="W56" s="952">
        <f t="shared" si="31"/>
        <v>129.1</v>
      </c>
      <c r="X56" s="815">
        <f t="shared" si="32"/>
        <v>0.19999999999998863</v>
      </c>
      <c r="Y56" s="815"/>
    </row>
    <row r="57" spans="1:25" x14ac:dyDescent="0.25">
      <c r="A57" s="808" t="s">
        <v>22</v>
      </c>
      <c r="B57" s="809">
        <v>6.9</v>
      </c>
      <c r="C57" s="810">
        <v>6.5</v>
      </c>
      <c r="D57" s="810">
        <v>6.8</v>
      </c>
      <c r="E57" s="810">
        <v>1.3</v>
      </c>
      <c r="F57" s="810">
        <v>6.9</v>
      </c>
      <c r="G57" s="810">
        <v>6.9</v>
      </c>
      <c r="H57" s="812">
        <v>6.9</v>
      </c>
      <c r="I57" s="809">
        <v>7.1</v>
      </c>
      <c r="J57" s="810">
        <v>7.1</v>
      </c>
      <c r="K57" s="810">
        <v>7.3</v>
      </c>
      <c r="L57" s="810">
        <v>1.5</v>
      </c>
      <c r="M57" s="810">
        <v>6.9</v>
      </c>
      <c r="N57" s="810">
        <v>7.2</v>
      </c>
      <c r="O57" s="812">
        <v>6.9</v>
      </c>
      <c r="P57" s="809">
        <v>7.2</v>
      </c>
      <c r="Q57" s="810">
        <v>7.2</v>
      </c>
      <c r="R57" s="810">
        <v>7.1</v>
      </c>
      <c r="S57" s="810">
        <v>1.4</v>
      </c>
      <c r="T57" s="810">
        <v>7.1</v>
      </c>
      <c r="U57" s="810">
        <v>7.2</v>
      </c>
      <c r="V57" s="812">
        <v>6.7</v>
      </c>
      <c r="W57" s="896">
        <f t="shared" si="31"/>
        <v>130.1</v>
      </c>
      <c r="X57" s="815">
        <f t="shared" si="32"/>
        <v>1</v>
      </c>
      <c r="Y57" s="815"/>
    </row>
    <row r="58" spans="1:25" ht="15.75" thickBot="1" x14ac:dyDescent="0.3">
      <c r="A58" s="808" t="s">
        <v>23</v>
      </c>
      <c r="B58" s="809">
        <v>7</v>
      </c>
      <c r="C58" s="810">
        <v>6.5</v>
      </c>
      <c r="D58" s="810">
        <v>6.8</v>
      </c>
      <c r="E58" s="810">
        <v>1.3</v>
      </c>
      <c r="F58" s="810">
        <v>6.9</v>
      </c>
      <c r="G58" s="810">
        <v>6.9</v>
      </c>
      <c r="H58" s="812">
        <v>6.9</v>
      </c>
      <c r="I58" s="809">
        <v>7.1</v>
      </c>
      <c r="J58" s="810">
        <v>7.1</v>
      </c>
      <c r="K58" s="810">
        <v>7.3</v>
      </c>
      <c r="L58" s="810">
        <v>1.5</v>
      </c>
      <c r="M58" s="810">
        <v>6.9</v>
      </c>
      <c r="N58" s="810">
        <v>7.2</v>
      </c>
      <c r="O58" s="812">
        <v>6.9</v>
      </c>
      <c r="P58" s="809">
        <v>7.2</v>
      </c>
      <c r="Q58" s="810">
        <v>7.2</v>
      </c>
      <c r="R58" s="810">
        <v>7.1</v>
      </c>
      <c r="S58" s="810">
        <v>1.4</v>
      </c>
      <c r="T58" s="810">
        <v>7.1</v>
      </c>
      <c r="U58" s="810">
        <v>7.2</v>
      </c>
      <c r="V58" s="812">
        <v>6.7</v>
      </c>
      <c r="W58" s="896">
        <f t="shared" si="31"/>
        <v>130.20000000000002</v>
      </c>
      <c r="X58" s="815">
        <f t="shared" si="32"/>
        <v>0.10000000000002274</v>
      </c>
      <c r="Y58" s="815"/>
    </row>
    <row r="59" spans="1:25" x14ac:dyDescent="0.25">
      <c r="A59" s="800" t="s">
        <v>9</v>
      </c>
      <c r="B59" s="873">
        <f>SUM(B52:B58)</f>
        <v>48.599999999999994</v>
      </c>
      <c r="C59" s="874">
        <f>SUM(C52:C58)</f>
        <v>45.199999999999996</v>
      </c>
      <c r="D59" s="874">
        <f t="shared" ref="D59:V59" si="33">SUM(D52:D58)</f>
        <v>47.3</v>
      </c>
      <c r="E59" s="874">
        <f t="shared" si="33"/>
        <v>9</v>
      </c>
      <c r="F59" s="874">
        <f t="shared" si="33"/>
        <v>48.499999999999993</v>
      </c>
      <c r="G59" s="874">
        <f t="shared" si="33"/>
        <v>48.199999999999996</v>
      </c>
      <c r="H59" s="900">
        <f t="shared" si="33"/>
        <v>48.199999999999996</v>
      </c>
      <c r="I59" s="901">
        <f t="shared" si="33"/>
        <v>49.900000000000006</v>
      </c>
      <c r="J59" s="874">
        <f t="shared" si="33"/>
        <v>49.900000000000006</v>
      </c>
      <c r="K59" s="874">
        <f t="shared" si="33"/>
        <v>50.899999999999991</v>
      </c>
      <c r="L59" s="874">
        <f t="shared" si="33"/>
        <v>10.200000000000001</v>
      </c>
      <c r="M59" s="874">
        <f t="shared" si="33"/>
        <v>48.5</v>
      </c>
      <c r="N59" s="874">
        <f t="shared" si="33"/>
        <v>50.400000000000006</v>
      </c>
      <c r="O59" s="902">
        <f t="shared" si="33"/>
        <v>48.199999999999996</v>
      </c>
      <c r="P59" s="824">
        <f t="shared" si="33"/>
        <v>50.500000000000007</v>
      </c>
      <c r="Q59" s="825">
        <f t="shared" si="33"/>
        <v>50.500000000000007</v>
      </c>
      <c r="R59" s="825">
        <f t="shared" si="33"/>
        <v>49.6</v>
      </c>
      <c r="S59" s="825">
        <f t="shared" si="33"/>
        <v>10.100000000000001</v>
      </c>
      <c r="T59" s="825">
        <f t="shared" si="33"/>
        <v>49.6</v>
      </c>
      <c r="U59" s="825">
        <f t="shared" si="33"/>
        <v>50.20000000000001</v>
      </c>
      <c r="V59" s="826">
        <f t="shared" si="33"/>
        <v>46.900000000000006</v>
      </c>
      <c r="W59" s="903">
        <f>SUM(W52:W58)</f>
        <v>910.40000000000009</v>
      </c>
    </row>
    <row r="60" spans="1:25" x14ac:dyDescent="0.25">
      <c r="A60" s="828" t="s">
        <v>11</v>
      </c>
      <c r="B60" s="957">
        <v>161.5</v>
      </c>
      <c r="C60" s="876">
        <v>161.5</v>
      </c>
      <c r="D60" s="876">
        <v>161</v>
      </c>
      <c r="E60" s="876">
        <v>161</v>
      </c>
      <c r="F60" s="876">
        <v>161</v>
      </c>
      <c r="G60" s="876">
        <v>160</v>
      </c>
      <c r="H60" s="958">
        <v>160</v>
      </c>
      <c r="I60" s="957">
        <v>162</v>
      </c>
      <c r="J60" s="876">
        <v>162</v>
      </c>
      <c r="K60" s="876">
        <v>161.5</v>
      </c>
      <c r="L60" s="876">
        <v>161.5</v>
      </c>
      <c r="M60" s="876">
        <v>161</v>
      </c>
      <c r="N60" s="876">
        <v>160</v>
      </c>
      <c r="O60" s="905">
        <v>160</v>
      </c>
      <c r="P60" s="957">
        <v>164</v>
      </c>
      <c r="Q60" s="876">
        <v>164</v>
      </c>
      <c r="R60" s="876">
        <v>161</v>
      </c>
      <c r="S60" s="876">
        <v>161</v>
      </c>
      <c r="T60" s="876">
        <v>161</v>
      </c>
      <c r="U60" s="876">
        <v>159.5</v>
      </c>
      <c r="V60" s="958">
        <v>159.5</v>
      </c>
      <c r="W60" s="906">
        <f>((W59/W61)/7)*1000</f>
        <v>161.16126748097008</v>
      </c>
    </row>
    <row r="61" spans="1:25" x14ac:dyDescent="0.25">
      <c r="A61" s="833" t="s">
        <v>12</v>
      </c>
      <c r="B61" s="834">
        <v>43</v>
      </c>
      <c r="C61" s="835">
        <v>40</v>
      </c>
      <c r="D61" s="835">
        <v>42</v>
      </c>
      <c r="E61" s="835">
        <v>8</v>
      </c>
      <c r="F61" s="835">
        <v>43</v>
      </c>
      <c r="G61" s="835">
        <v>43</v>
      </c>
      <c r="H61" s="836">
        <v>43</v>
      </c>
      <c r="I61" s="907">
        <v>44</v>
      </c>
      <c r="J61" s="835">
        <v>44</v>
      </c>
      <c r="K61" s="835">
        <v>45</v>
      </c>
      <c r="L61" s="835">
        <v>9</v>
      </c>
      <c r="M61" s="835">
        <v>43</v>
      </c>
      <c r="N61" s="835">
        <v>45</v>
      </c>
      <c r="O61" s="908">
        <v>43</v>
      </c>
      <c r="P61" s="834">
        <v>44</v>
      </c>
      <c r="Q61" s="835">
        <v>44</v>
      </c>
      <c r="R61" s="835">
        <v>44</v>
      </c>
      <c r="S61" s="835">
        <v>9</v>
      </c>
      <c r="T61" s="835">
        <v>44</v>
      </c>
      <c r="U61" s="835">
        <v>45</v>
      </c>
      <c r="V61" s="836">
        <v>42</v>
      </c>
      <c r="W61" s="909">
        <f>SUM(B61:V61)</f>
        <v>807</v>
      </c>
    </row>
    <row r="62" spans="1:25" x14ac:dyDescent="0.25">
      <c r="A62" s="838" t="s">
        <v>13</v>
      </c>
      <c r="B62" s="839">
        <f t="shared" ref="B62:V62" si="34">((((B60*7)*B61)/1000-B52-B53)/5)</f>
        <v>6.9222999999999999</v>
      </c>
      <c r="C62" s="839">
        <f t="shared" si="34"/>
        <v>6.444</v>
      </c>
      <c r="D62" s="839">
        <f t="shared" si="34"/>
        <v>6.7468000000000021</v>
      </c>
      <c r="E62" s="839">
        <f t="shared" si="34"/>
        <v>1.2431999999999999</v>
      </c>
      <c r="F62" s="839">
        <f t="shared" si="34"/>
        <v>6.8921999999999999</v>
      </c>
      <c r="G62" s="839">
        <f t="shared" si="34"/>
        <v>6.831999999999999</v>
      </c>
      <c r="H62" s="839">
        <f t="shared" si="34"/>
        <v>6.831999999999999</v>
      </c>
      <c r="I62" s="839">
        <f t="shared" si="34"/>
        <v>7.0991999999999988</v>
      </c>
      <c r="J62" s="839">
        <f t="shared" si="34"/>
        <v>7.0991999999999988</v>
      </c>
      <c r="K62" s="839">
        <f t="shared" si="34"/>
        <v>7.2545000000000019</v>
      </c>
      <c r="L62" s="839">
        <f t="shared" si="34"/>
        <v>1.4349000000000001</v>
      </c>
      <c r="M62" s="839">
        <f t="shared" si="34"/>
        <v>6.8321999999999985</v>
      </c>
      <c r="N62" s="839">
        <f t="shared" si="34"/>
        <v>7.1999999999999984</v>
      </c>
      <c r="O62" s="910">
        <f t="shared" si="34"/>
        <v>6.831999999999999</v>
      </c>
      <c r="P62" s="839">
        <f t="shared" si="34"/>
        <v>7.1824000000000012</v>
      </c>
      <c r="Q62" s="839">
        <f t="shared" si="34"/>
        <v>7.1824000000000012</v>
      </c>
      <c r="R62" s="839">
        <f t="shared" si="34"/>
        <v>7.0375999999999994</v>
      </c>
      <c r="S62" s="839">
        <f t="shared" si="34"/>
        <v>1.3886000000000003</v>
      </c>
      <c r="T62" s="839">
        <f t="shared" si="34"/>
        <v>7.0375999999999994</v>
      </c>
      <c r="U62" s="839">
        <f t="shared" si="34"/>
        <v>7.168499999999999</v>
      </c>
      <c r="V62" s="911">
        <f t="shared" si="34"/>
        <v>6.698599999999999</v>
      </c>
      <c r="W62" s="912">
        <f>((W59*1000)/7)/W61</f>
        <v>161.16126748097011</v>
      </c>
    </row>
    <row r="63" spans="1:25" x14ac:dyDescent="0.25">
      <c r="A63" s="841" t="s">
        <v>14</v>
      </c>
      <c r="B63" s="839">
        <f>((B61*B60)*7)/1000</f>
        <v>48.611499999999999</v>
      </c>
      <c r="C63" s="842">
        <f>((C61*C60)*7)/1000</f>
        <v>45.22</v>
      </c>
      <c r="D63" s="842">
        <f t="shared" ref="D63:V63" si="35">((D61*D60)*7)/1000</f>
        <v>47.334000000000003</v>
      </c>
      <c r="E63" s="842">
        <f t="shared" si="35"/>
        <v>9.016</v>
      </c>
      <c r="F63" s="842">
        <f t="shared" si="35"/>
        <v>48.460999999999999</v>
      </c>
      <c r="G63" s="842">
        <f t="shared" si="35"/>
        <v>48.16</v>
      </c>
      <c r="H63" s="843">
        <f t="shared" si="35"/>
        <v>48.16</v>
      </c>
      <c r="I63" s="913">
        <f t="shared" si="35"/>
        <v>49.896000000000001</v>
      </c>
      <c r="J63" s="842">
        <f t="shared" si="35"/>
        <v>49.896000000000001</v>
      </c>
      <c r="K63" s="842">
        <f t="shared" si="35"/>
        <v>50.872500000000002</v>
      </c>
      <c r="L63" s="842">
        <f t="shared" si="35"/>
        <v>10.1745</v>
      </c>
      <c r="M63" s="842">
        <f t="shared" si="35"/>
        <v>48.460999999999999</v>
      </c>
      <c r="N63" s="842">
        <f t="shared" si="35"/>
        <v>50.4</v>
      </c>
      <c r="O63" s="914">
        <f t="shared" si="35"/>
        <v>48.16</v>
      </c>
      <c r="P63" s="839">
        <f t="shared" si="35"/>
        <v>50.512</v>
      </c>
      <c r="Q63" s="842">
        <f t="shared" si="35"/>
        <v>50.512</v>
      </c>
      <c r="R63" s="842">
        <f t="shared" si="35"/>
        <v>49.588000000000001</v>
      </c>
      <c r="S63" s="842">
        <f t="shared" si="35"/>
        <v>10.143000000000001</v>
      </c>
      <c r="T63" s="842">
        <f t="shared" si="35"/>
        <v>49.588000000000001</v>
      </c>
      <c r="U63" s="842">
        <f t="shared" si="35"/>
        <v>50.2425</v>
      </c>
      <c r="V63" s="843">
        <f t="shared" si="35"/>
        <v>46.893000000000001</v>
      </c>
      <c r="W63" s="915"/>
    </row>
    <row r="64" spans="1:25" ht="15.75" thickBot="1" x14ac:dyDescent="0.3">
      <c r="A64" s="887" t="s">
        <v>15</v>
      </c>
      <c r="B64" s="846">
        <f>+(B59/B61)/7*1000</f>
        <v>161.46179401993351</v>
      </c>
      <c r="C64" s="847">
        <f t="shared" ref="C64:V64" si="36">+(C59/C61)/7*1000</f>
        <v>161.42857142857142</v>
      </c>
      <c r="D64" s="847">
        <f t="shared" si="36"/>
        <v>160.8843537414966</v>
      </c>
      <c r="E64" s="847">
        <f>+(E59/E61)/7*1000</f>
        <v>160.71428571428572</v>
      </c>
      <c r="F64" s="847">
        <f t="shared" si="36"/>
        <v>161.12956810631226</v>
      </c>
      <c r="G64" s="847">
        <f t="shared" si="36"/>
        <v>160.13289036544847</v>
      </c>
      <c r="H64" s="848">
        <f t="shared" si="36"/>
        <v>160.13289036544847</v>
      </c>
      <c r="I64" s="916">
        <f t="shared" si="36"/>
        <v>162.01298701298703</v>
      </c>
      <c r="J64" s="847">
        <f t="shared" si="36"/>
        <v>162.01298701298703</v>
      </c>
      <c r="K64" s="847">
        <f t="shared" si="36"/>
        <v>161.58730158730157</v>
      </c>
      <c r="L64" s="847">
        <f t="shared" si="36"/>
        <v>161.90476190476193</v>
      </c>
      <c r="M64" s="847">
        <f t="shared" si="36"/>
        <v>161.12956810631229</v>
      </c>
      <c r="N64" s="847">
        <f t="shared" si="36"/>
        <v>160</v>
      </c>
      <c r="O64" s="917">
        <f t="shared" si="36"/>
        <v>160.13289036544847</v>
      </c>
      <c r="P64" s="846">
        <f t="shared" si="36"/>
        <v>163.96103896103901</v>
      </c>
      <c r="Q64" s="847">
        <f t="shared" si="36"/>
        <v>163.96103896103901</v>
      </c>
      <c r="R64" s="847">
        <f t="shared" si="36"/>
        <v>161.03896103896105</v>
      </c>
      <c r="S64" s="847">
        <f t="shared" si="36"/>
        <v>160.31746031746036</v>
      </c>
      <c r="T64" s="847">
        <f t="shared" si="36"/>
        <v>161.03896103896105</v>
      </c>
      <c r="U64" s="847">
        <f t="shared" si="36"/>
        <v>159.3650793650794</v>
      </c>
      <c r="V64" s="848">
        <f t="shared" si="36"/>
        <v>159.52380952380955</v>
      </c>
      <c r="W64" s="918"/>
    </row>
    <row r="65" spans="1:24" x14ac:dyDescent="0.25">
      <c r="A65" s="779"/>
      <c r="B65" s="850">
        <f t="shared" ref="B65:V65" si="37">B63-B59</f>
        <v>1.1500000000005173E-2</v>
      </c>
      <c r="C65" s="850">
        <f t="shared" si="37"/>
        <v>2.0000000000003126E-2</v>
      </c>
      <c r="D65" s="850">
        <f t="shared" si="37"/>
        <v>3.4000000000006025E-2</v>
      </c>
      <c r="E65" s="850">
        <f t="shared" si="37"/>
        <v>1.6000000000000014E-2</v>
      </c>
      <c r="F65" s="850">
        <f t="shared" si="37"/>
        <v>-3.8999999999994373E-2</v>
      </c>
      <c r="G65" s="850">
        <f t="shared" si="37"/>
        <v>-3.9999999999999147E-2</v>
      </c>
      <c r="H65" s="850">
        <f t="shared" si="37"/>
        <v>-3.9999999999999147E-2</v>
      </c>
      <c r="I65" s="850">
        <f t="shared" si="37"/>
        <v>-4.0000000000048885E-3</v>
      </c>
      <c r="J65" s="850">
        <f t="shared" si="37"/>
        <v>-4.0000000000048885E-3</v>
      </c>
      <c r="K65" s="850">
        <f t="shared" si="37"/>
        <v>-2.74999999999892E-2</v>
      </c>
      <c r="L65" s="850">
        <f t="shared" si="37"/>
        <v>-2.5500000000000966E-2</v>
      </c>
      <c r="M65" s="850">
        <f t="shared" si="37"/>
        <v>-3.9000000000001478E-2</v>
      </c>
      <c r="N65" s="850">
        <f t="shared" si="37"/>
        <v>0</v>
      </c>
      <c r="O65" s="850">
        <f t="shared" si="37"/>
        <v>-3.9999999999999147E-2</v>
      </c>
      <c r="P65" s="850">
        <f t="shared" si="37"/>
        <v>1.1999999999993349E-2</v>
      </c>
      <c r="Q65" s="850">
        <f t="shared" si="37"/>
        <v>1.1999999999993349E-2</v>
      </c>
      <c r="R65" s="850">
        <f t="shared" si="37"/>
        <v>-1.2000000000000455E-2</v>
      </c>
      <c r="S65" s="850">
        <f t="shared" si="37"/>
        <v>4.2999999999999261E-2</v>
      </c>
      <c r="T65" s="850">
        <f t="shared" si="37"/>
        <v>-1.2000000000000455E-2</v>
      </c>
      <c r="U65" s="850">
        <f t="shared" si="37"/>
        <v>4.2499999999989768E-2</v>
      </c>
      <c r="V65" s="850">
        <f t="shared" si="37"/>
        <v>-7.0000000000050022E-3</v>
      </c>
    </row>
    <row r="66" spans="1:24" x14ac:dyDescent="0.25">
      <c r="A66" s="779"/>
      <c r="B66" s="922">
        <f t="shared" ref="B66:V66" si="38">(B65+B68)/$A$2</f>
        <v>1.1500000000005173E-2</v>
      </c>
      <c r="C66" s="922">
        <f t="shared" si="38"/>
        <v>2.0000000000003126E-2</v>
      </c>
      <c r="D66" s="922">
        <f t="shared" si="38"/>
        <v>3.4000000000006025E-2</v>
      </c>
      <c r="E66" s="922">
        <f t="shared" si="38"/>
        <v>1.6000000000000014E-2</v>
      </c>
      <c r="F66" s="922">
        <f t="shared" si="38"/>
        <v>-3.8999999999994373E-2</v>
      </c>
      <c r="G66" s="922">
        <f t="shared" si="38"/>
        <v>-3.9999999999999147E-2</v>
      </c>
      <c r="H66" s="922">
        <f t="shared" si="38"/>
        <v>-3.9999999999999147E-2</v>
      </c>
      <c r="I66" s="922">
        <f t="shared" si="38"/>
        <v>-4.0000000000048885E-3</v>
      </c>
      <c r="J66" s="922">
        <f t="shared" si="38"/>
        <v>-4.0000000000048885E-3</v>
      </c>
      <c r="K66" s="922">
        <f t="shared" si="38"/>
        <v>-2.74999999999892E-2</v>
      </c>
      <c r="L66" s="922">
        <f t="shared" si="38"/>
        <v>-2.5500000000000966E-2</v>
      </c>
      <c r="M66" s="922">
        <f t="shared" si="38"/>
        <v>-3.9000000000001478E-2</v>
      </c>
      <c r="N66" s="922">
        <f t="shared" si="38"/>
        <v>0</v>
      </c>
      <c r="O66" s="922">
        <f t="shared" si="38"/>
        <v>-3.9999999999999147E-2</v>
      </c>
      <c r="P66" s="922">
        <f t="shared" si="38"/>
        <v>1.1999999999993349E-2</v>
      </c>
      <c r="Q66" s="922">
        <f t="shared" si="38"/>
        <v>1.1999999999993349E-2</v>
      </c>
      <c r="R66" s="922">
        <f t="shared" si="38"/>
        <v>-1.2000000000000455E-2</v>
      </c>
      <c r="S66" s="922">
        <f t="shared" si="38"/>
        <v>4.2999999999999261E-2</v>
      </c>
      <c r="T66" s="922">
        <f t="shared" si="38"/>
        <v>-1.2000000000000455E-2</v>
      </c>
      <c r="U66" s="922">
        <f t="shared" si="38"/>
        <v>4.2499999999989768E-2</v>
      </c>
      <c r="V66" s="922">
        <f t="shared" si="38"/>
        <v>-7.0000000000050022E-3</v>
      </c>
    </row>
    <row r="67" spans="1:24" x14ac:dyDescent="0.25">
      <c r="B67" s="922">
        <f>B66 + SUMIF($A$52:$A$58, $A$3,B52:B58)</f>
        <v>7.0115000000000052</v>
      </c>
      <c r="C67" s="922">
        <f t="shared" ref="C67:V67" si="39">C66 + SUMIF($A$52:$A$58, $A$3,C52:C58)</f>
        <v>6.5200000000000031</v>
      </c>
      <c r="D67" s="922">
        <f t="shared" si="39"/>
        <v>6.8340000000000058</v>
      </c>
      <c r="E67" s="922">
        <f t="shared" si="39"/>
        <v>1.3160000000000001</v>
      </c>
      <c r="F67" s="922">
        <f t="shared" si="39"/>
        <v>6.861000000000006</v>
      </c>
      <c r="G67" s="922">
        <f t="shared" si="39"/>
        <v>6.8600000000000012</v>
      </c>
      <c r="H67" s="922">
        <f t="shared" si="39"/>
        <v>6.8600000000000012</v>
      </c>
      <c r="I67" s="922">
        <f t="shared" si="39"/>
        <v>7.0959999999999948</v>
      </c>
      <c r="J67" s="922">
        <f t="shared" si="39"/>
        <v>7.0959999999999948</v>
      </c>
      <c r="K67" s="922">
        <f t="shared" si="39"/>
        <v>7.2725000000000106</v>
      </c>
      <c r="L67" s="922">
        <f t="shared" si="39"/>
        <v>1.474499999999999</v>
      </c>
      <c r="M67" s="922">
        <f t="shared" si="39"/>
        <v>6.8609999999999989</v>
      </c>
      <c r="N67" s="922">
        <f t="shared" si="39"/>
        <v>7.2</v>
      </c>
      <c r="O67" s="922">
        <f t="shared" si="39"/>
        <v>6.8600000000000012</v>
      </c>
      <c r="P67" s="922">
        <f t="shared" si="39"/>
        <v>7.2119999999999935</v>
      </c>
      <c r="Q67" s="922">
        <f t="shared" si="39"/>
        <v>7.2119999999999935</v>
      </c>
      <c r="R67" s="922">
        <f t="shared" si="39"/>
        <v>7.0879999999999992</v>
      </c>
      <c r="S67" s="922">
        <f t="shared" si="39"/>
        <v>1.4429999999999992</v>
      </c>
      <c r="T67" s="922">
        <f t="shared" si="39"/>
        <v>7.0879999999999992</v>
      </c>
      <c r="U67" s="922">
        <f t="shared" si="39"/>
        <v>7.2424999999999899</v>
      </c>
      <c r="V67" s="922">
        <f t="shared" si="39"/>
        <v>6.6929999999999952</v>
      </c>
    </row>
    <row r="68" spans="1:24" x14ac:dyDescent="0.25">
      <c r="A68" s="779"/>
    </row>
    <row r="69" spans="1:24" x14ac:dyDescent="0.25">
      <c r="A69" s="779"/>
      <c r="B69" s="861"/>
      <c r="C69" s="861"/>
      <c r="D69" s="861"/>
      <c r="E69" s="861"/>
      <c r="F69" s="861"/>
      <c r="G69" s="861"/>
      <c r="H69" s="861"/>
      <c r="I69" s="861"/>
      <c r="J69" s="861"/>
      <c r="K69" s="861"/>
      <c r="L69" s="861"/>
      <c r="M69" s="861"/>
      <c r="N69" s="861"/>
      <c r="O69" s="861"/>
      <c r="P69" s="861"/>
      <c r="Q69" s="861"/>
      <c r="R69" s="861"/>
      <c r="S69" s="861"/>
      <c r="T69" s="861"/>
      <c r="U69" s="861"/>
      <c r="V69" s="861"/>
      <c r="W69" s="861"/>
      <c r="X69" s="861"/>
    </row>
  </sheetData>
  <mergeCells count="28">
    <mergeCell ref="P2:R2"/>
    <mergeCell ref="U2:V2"/>
    <mergeCell ref="T3:U3"/>
    <mergeCell ref="V3:W3"/>
    <mergeCell ref="B5:H5"/>
    <mergeCell ref="I5:O5"/>
    <mergeCell ref="P5:V5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</mergeCells>
  <dataValidations count="1">
    <dataValidation type="list" allowBlank="1" showInputMessage="1" showErrorMessage="1" sqref="A3" xr:uid="{00000000-0002-0000-5000-000000000000}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76">
    <tabColor rgb="FF00FF00"/>
    <pageSetUpPr fitToPage="1"/>
  </sheetPr>
  <dimension ref="A1:AB48"/>
  <sheetViews>
    <sheetView tabSelected="1" view="pageBreakPreview" zoomScale="35" zoomScaleNormal="35" zoomScaleSheetLayoutView="35" zoomScalePageLayoutView="25" workbookViewId="0">
      <selection activeCell="M7" sqref="M7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123"/>
      <c r="C1" s="1125" t="s">
        <v>36</v>
      </c>
      <c r="D1" s="1125"/>
      <c r="E1" s="1125"/>
      <c r="F1" s="1125"/>
      <c r="G1" s="1125"/>
      <c r="H1" s="1125"/>
      <c r="I1" s="1125"/>
      <c r="J1" s="1125"/>
      <c r="K1" s="1125"/>
      <c r="L1" s="1125"/>
      <c r="M1" s="1125"/>
      <c r="N1" s="1125"/>
      <c r="O1" s="1125"/>
      <c r="P1" s="1125"/>
      <c r="Q1" s="1125"/>
      <c r="R1" s="1125"/>
      <c r="S1" s="1125"/>
      <c r="T1" s="1125"/>
      <c r="U1" s="1125"/>
      <c r="V1" s="1125"/>
      <c r="W1" s="1126"/>
      <c r="X1" s="1127" t="s">
        <v>37</v>
      </c>
      <c r="Y1" s="1128"/>
    </row>
    <row r="2" spans="1:28" x14ac:dyDescent="0.55000000000000004">
      <c r="A2" s="577"/>
      <c r="B2" s="1124"/>
      <c r="C2" s="1129" t="s">
        <v>38</v>
      </c>
      <c r="D2" s="1129"/>
      <c r="E2" s="1129"/>
      <c r="F2" s="1129"/>
      <c r="G2" s="1129"/>
      <c r="H2" s="1129"/>
      <c r="I2" s="1129"/>
      <c r="J2" s="1129"/>
      <c r="K2" s="1129"/>
      <c r="L2" s="1129"/>
      <c r="M2" s="1129"/>
      <c r="N2" s="1129"/>
      <c r="O2" s="1129"/>
      <c r="P2" s="1129"/>
      <c r="Q2" s="1129"/>
      <c r="R2" s="1129"/>
      <c r="S2" s="1129"/>
      <c r="T2" s="1129"/>
      <c r="U2" s="1129"/>
      <c r="V2" s="1129"/>
      <c r="W2" s="1130"/>
      <c r="X2" s="1132" t="s">
        <v>39</v>
      </c>
      <c r="Y2" s="1133"/>
    </row>
    <row r="3" spans="1:28" x14ac:dyDescent="0.55000000000000004">
      <c r="A3" s="577"/>
      <c r="B3" s="1124"/>
      <c r="C3" s="1122"/>
      <c r="D3" s="1122"/>
      <c r="E3" s="1122"/>
      <c r="F3" s="1122"/>
      <c r="G3" s="1122"/>
      <c r="H3" s="1122"/>
      <c r="I3" s="1122"/>
      <c r="J3" s="1122"/>
      <c r="K3" s="1122"/>
      <c r="L3" s="1122"/>
      <c r="M3" s="1122"/>
      <c r="N3" s="1122"/>
      <c r="O3" s="1122"/>
      <c r="P3" s="1122"/>
      <c r="Q3" s="1122"/>
      <c r="R3" s="1122"/>
      <c r="S3" s="1122"/>
      <c r="T3" s="1122"/>
      <c r="U3" s="1122"/>
      <c r="V3" s="1122"/>
      <c r="W3" s="1131"/>
      <c r="X3" s="1132" t="s">
        <v>40</v>
      </c>
      <c r="Y3" s="1133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thickBot="1" x14ac:dyDescent="0.6">
      <c r="A5" s="577"/>
      <c r="B5" s="579" t="s">
        <v>41</v>
      </c>
      <c r="C5" s="1122">
        <v>2</v>
      </c>
      <c r="D5" s="1122"/>
      <c r="E5" s="435"/>
      <c r="F5" s="435"/>
      <c r="G5" s="435" t="s">
        <v>42</v>
      </c>
      <c r="H5" s="1134" t="s">
        <v>54</v>
      </c>
      <c r="I5" s="1134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62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137" t="s">
        <v>135</v>
      </c>
      <c r="Y6" s="1138"/>
      <c r="Z6" s="945"/>
    </row>
    <row r="7" spans="1:28" ht="39" customHeight="1" thickBot="1" x14ac:dyDescent="0.6">
      <c r="A7" s="577"/>
      <c r="B7" s="580" t="s">
        <v>44</v>
      </c>
      <c r="C7" s="1135" t="s">
        <v>2</v>
      </c>
      <c r="D7" s="1135"/>
      <c r="E7" s="436"/>
      <c r="F7" s="436"/>
      <c r="G7" s="435" t="s">
        <v>45</v>
      </c>
      <c r="H7" s="1136">
        <v>45805</v>
      </c>
      <c r="I7" s="1136"/>
      <c r="J7" s="437"/>
      <c r="K7" s="437"/>
      <c r="L7" s="437"/>
      <c r="M7" s="437"/>
      <c r="N7" s="437"/>
      <c r="O7" s="437"/>
      <c r="P7" s="1121" t="s">
        <v>46</v>
      </c>
      <c r="Q7" s="1121"/>
      <c r="R7" s="1121"/>
      <c r="S7" s="1122" t="s">
        <v>116</v>
      </c>
      <c r="T7" s="1122"/>
      <c r="U7" s="1122"/>
      <c r="V7" s="1122"/>
      <c r="W7" s="438"/>
      <c r="X7" s="1139">
        <v>45805</v>
      </c>
      <c r="Y7" s="1140"/>
      <c r="Z7" s="946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14" t="s">
        <v>47</v>
      </c>
      <c r="B9" s="1115"/>
      <c r="C9" s="1116" t="s">
        <v>65</v>
      </c>
      <c r="D9" s="1117"/>
      <c r="E9" s="1117"/>
      <c r="F9" s="1117"/>
      <c r="G9" s="1117"/>
      <c r="H9" s="1117"/>
      <c r="I9" s="1118"/>
      <c r="J9" s="1116" t="s">
        <v>63</v>
      </c>
      <c r="K9" s="1117"/>
      <c r="L9" s="1117"/>
      <c r="M9" s="1117"/>
      <c r="N9" s="1117"/>
      <c r="O9" s="1117"/>
      <c r="P9" s="1118"/>
      <c r="Q9" s="1119" t="s">
        <v>8</v>
      </c>
      <c r="R9" s="1120"/>
      <c r="S9" s="1120"/>
      <c r="T9" s="1120"/>
      <c r="U9" s="1120"/>
      <c r="V9" s="1120"/>
      <c r="W9" s="1120"/>
      <c r="X9" s="1118"/>
    </row>
    <row r="10" spans="1:28" ht="48" customHeight="1" thickBot="1" x14ac:dyDescent="0.6">
      <c r="A10" s="1112" t="s">
        <v>48</v>
      </c>
      <c r="B10" s="1113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f>H7</f>
        <v>45805</v>
      </c>
      <c r="C11" s="360">
        <f ca="1">INDIRECT("'SEM " &amp; $R$5 &amp; "'!" &amp; ADDRESS(ROW(B8), COLUMN(B8)))</f>
        <v>83.7</v>
      </c>
      <c r="D11" s="282">
        <f t="shared" ref="D11:X11" ca="1" si="0">INDIRECT("'SEM " &amp; $R$5 &amp; "'!" &amp; ADDRESS(ROW(C8), COLUMN(C8)))</f>
        <v>82.7</v>
      </c>
      <c r="E11" s="282">
        <f t="shared" ca="1" si="0"/>
        <v>82.6</v>
      </c>
      <c r="F11" s="282">
        <f t="shared" ca="1" si="0"/>
        <v>13.1</v>
      </c>
      <c r="G11" s="282">
        <f t="shared" ca="1" si="0"/>
        <v>85</v>
      </c>
      <c r="H11" s="282">
        <f t="shared" ca="1" si="0"/>
        <v>82.9</v>
      </c>
      <c r="I11" s="284">
        <f t="shared" ca="1" si="0"/>
        <v>83.7</v>
      </c>
      <c r="J11" s="285">
        <f t="shared" ca="1" si="0"/>
        <v>87.1</v>
      </c>
      <c r="K11" s="282">
        <f t="shared" ca="1" si="0"/>
        <v>88.6</v>
      </c>
      <c r="L11" s="282">
        <f t="shared" ca="1" si="0"/>
        <v>90.8</v>
      </c>
      <c r="M11" s="282">
        <f t="shared" ca="1" si="0"/>
        <v>15.7</v>
      </c>
      <c r="N11" s="282">
        <f t="shared" ca="1" si="0"/>
        <v>89.3</v>
      </c>
      <c r="O11" s="282">
        <f t="shared" ca="1" si="0"/>
        <v>89.1</v>
      </c>
      <c r="P11" s="282">
        <f t="shared" ca="1" si="0"/>
        <v>90.2</v>
      </c>
      <c r="Q11" s="281">
        <f t="shared" ca="1" si="0"/>
        <v>89.9</v>
      </c>
      <c r="R11" s="282">
        <f t="shared" ca="1" si="0"/>
        <v>88.3</v>
      </c>
      <c r="S11" s="282">
        <f t="shared" ca="1" si="0"/>
        <v>88.3</v>
      </c>
      <c r="T11" s="282">
        <f t="shared" ca="1" si="0"/>
        <v>18.3</v>
      </c>
      <c r="U11" s="282">
        <f t="shared" ca="1" si="0"/>
        <v>89.3</v>
      </c>
      <c r="V11" s="282">
        <f t="shared" ca="1" si="0"/>
        <v>88.7</v>
      </c>
      <c r="W11" s="284">
        <f t="shared" ca="1" si="0"/>
        <v>89.7</v>
      </c>
      <c r="X11" s="732">
        <f t="shared" ca="1" si="0"/>
        <v>1617</v>
      </c>
      <c r="Y11" s="573"/>
    </row>
    <row r="12" spans="1:28" ht="48" customHeight="1" x14ac:dyDescent="0.55000000000000004">
      <c r="A12" s="574" t="s">
        <v>117</v>
      </c>
      <c r="B12" s="575">
        <f>B11+1</f>
        <v>45806</v>
      </c>
      <c r="C12" s="281">
        <f t="shared" ref="C12:X12" ca="1" si="1">INDIRECT("'SEM " &amp; $R$5 &amp; "'!" &amp; ADDRESS(ROW(B9), COLUMN(B9)))</f>
        <v>83.5</v>
      </c>
      <c r="D12" s="282">
        <f t="shared" ca="1" si="1"/>
        <v>82.3</v>
      </c>
      <c r="E12" s="282">
        <f t="shared" ca="1" si="1"/>
        <v>82.7</v>
      </c>
      <c r="F12" s="282">
        <f t="shared" ca="1" si="1"/>
        <v>12.5</v>
      </c>
      <c r="G12" s="282">
        <f t="shared" ca="1" si="1"/>
        <v>84.9</v>
      </c>
      <c r="H12" s="282">
        <f t="shared" ca="1" si="1"/>
        <v>82.7</v>
      </c>
      <c r="I12" s="284">
        <f t="shared" ca="1" si="1"/>
        <v>83.3</v>
      </c>
      <c r="J12" s="285">
        <f t="shared" ca="1" si="1"/>
        <v>86.7</v>
      </c>
      <c r="K12" s="282">
        <f t="shared" ca="1" si="1"/>
        <v>88.4</v>
      </c>
      <c r="L12" s="282">
        <f t="shared" ca="1" si="1"/>
        <v>90.8</v>
      </c>
      <c r="M12" s="282">
        <f t="shared" ca="1" si="1"/>
        <v>15.5</v>
      </c>
      <c r="N12" s="282">
        <f t="shared" ca="1" si="1"/>
        <v>89.5</v>
      </c>
      <c r="O12" s="282">
        <f t="shared" ca="1" si="1"/>
        <v>88.7</v>
      </c>
      <c r="P12" s="282">
        <f t="shared" ca="1" si="1"/>
        <v>90.3</v>
      </c>
      <c r="Q12" s="281">
        <f t="shared" ca="1" si="1"/>
        <v>89.9</v>
      </c>
      <c r="R12" s="282">
        <f t="shared" ca="1" si="1"/>
        <v>88.2</v>
      </c>
      <c r="S12" s="282">
        <f t="shared" ca="1" si="1"/>
        <v>88.2</v>
      </c>
      <c r="T12" s="282">
        <f t="shared" ca="1" si="1"/>
        <v>18.3</v>
      </c>
      <c r="U12" s="282">
        <f t="shared" ca="1" si="1"/>
        <v>89</v>
      </c>
      <c r="V12" s="282">
        <f t="shared" ca="1" si="1"/>
        <v>88.3</v>
      </c>
      <c r="W12" s="284">
        <f t="shared" ca="1" si="1"/>
        <v>89.5</v>
      </c>
      <c r="X12" s="733">
        <f t="shared" ca="1" si="1"/>
        <v>1613.2</v>
      </c>
      <c r="Y12" s="573"/>
    </row>
    <row r="13" spans="1:28" ht="48" customHeight="1" x14ac:dyDescent="0.55000000000000004">
      <c r="A13" s="574" t="s">
        <v>121</v>
      </c>
      <c r="B13" s="575">
        <f t="shared" ref="B13:B17" si="2">B12+1</f>
        <v>45807</v>
      </c>
      <c r="C13" s="281">
        <f t="shared" ref="C13:X13" ca="1" si="3">INDIRECT("'SEM " &amp; $R$5 &amp; "'!" &amp; ADDRESS(ROW(B10), COLUMN(B10)))</f>
        <v>0</v>
      </c>
      <c r="D13" s="282">
        <f t="shared" ca="1" si="3"/>
        <v>0</v>
      </c>
      <c r="E13" s="282">
        <f t="shared" ca="1" si="3"/>
        <v>0</v>
      </c>
      <c r="F13" s="282">
        <f t="shared" ca="1" si="3"/>
        <v>0</v>
      </c>
      <c r="G13" s="282">
        <f t="shared" ca="1" si="3"/>
        <v>0</v>
      </c>
      <c r="H13" s="282">
        <f t="shared" ca="1" si="3"/>
        <v>0</v>
      </c>
      <c r="I13" s="284">
        <f t="shared" ca="1" si="3"/>
        <v>0</v>
      </c>
      <c r="J13" s="285">
        <f t="shared" ca="1" si="3"/>
        <v>0</v>
      </c>
      <c r="K13" s="282">
        <f t="shared" ca="1" si="3"/>
        <v>0</v>
      </c>
      <c r="L13" s="282">
        <f t="shared" ca="1" si="3"/>
        <v>0</v>
      </c>
      <c r="M13" s="282">
        <f t="shared" ca="1" si="3"/>
        <v>0</v>
      </c>
      <c r="N13" s="282">
        <f t="shared" ca="1" si="3"/>
        <v>0</v>
      </c>
      <c r="O13" s="282">
        <f t="shared" ca="1" si="3"/>
        <v>0</v>
      </c>
      <c r="P13" s="282">
        <f t="shared" ca="1" si="3"/>
        <v>0</v>
      </c>
      <c r="Q13" s="281">
        <f t="shared" ca="1" si="3"/>
        <v>0</v>
      </c>
      <c r="R13" s="282">
        <f t="shared" ca="1" si="3"/>
        <v>0</v>
      </c>
      <c r="S13" s="282">
        <f t="shared" ca="1" si="3"/>
        <v>0</v>
      </c>
      <c r="T13" s="282">
        <f t="shared" ca="1" si="3"/>
        <v>0</v>
      </c>
      <c r="U13" s="282">
        <f t="shared" ca="1" si="3"/>
        <v>0</v>
      </c>
      <c r="V13" s="282">
        <f t="shared" ca="1" si="3"/>
        <v>0</v>
      </c>
      <c r="W13" s="284">
        <f t="shared" ca="1" si="3"/>
        <v>0</v>
      </c>
      <c r="X13" s="733">
        <f t="shared" ca="1" si="3"/>
        <v>0</v>
      </c>
      <c r="Y13" s="573"/>
    </row>
    <row r="14" spans="1:28" ht="48" customHeight="1" x14ac:dyDescent="0.55000000000000004">
      <c r="A14" s="574" t="s">
        <v>122</v>
      </c>
      <c r="B14" s="575">
        <f t="shared" si="2"/>
        <v>45808</v>
      </c>
      <c r="C14" s="281">
        <f t="shared" ref="C14:X14" ca="1" si="4">INDIRECT("'SEM " &amp; $R$5 &amp; "'!" &amp; ADDRESS(ROW(B11), COLUMN(B11)))</f>
        <v>0</v>
      </c>
      <c r="D14" s="282">
        <f t="shared" ca="1" si="4"/>
        <v>0</v>
      </c>
      <c r="E14" s="282">
        <f t="shared" ca="1" si="4"/>
        <v>0</v>
      </c>
      <c r="F14" s="282">
        <f t="shared" ca="1" si="4"/>
        <v>0</v>
      </c>
      <c r="G14" s="282">
        <f t="shared" ca="1" si="4"/>
        <v>0</v>
      </c>
      <c r="H14" s="282">
        <f t="shared" ca="1" si="4"/>
        <v>0</v>
      </c>
      <c r="I14" s="284">
        <f t="shared" ca="1" si="4"/>
        <v>0</v>
      </c>
      <c r="J14" s="285">
        <f t="shared" ca="1" si="4"/>
        <v>0</v>
      </c>
      <c r="K14" s="282">
        <f t="shared" ca="1" si="4"/>
        <v>0</v>
      </c>
      <c r="L14" s="282">
        <f t="shared" ca="1" si="4"/>
        <v>0</v>
      </c>
      <c r="M14" s="282">
        <f t="shared" ca="1" si="4"/>
        <v>0</v>
      </c>
      <c r="N14" s="282">
        <f t="shared" ca="1" si="4"/>
        <v>0</v>
      </c>
      <c r="O14" s="282">
        <f t="shared" ca="1" si="4"/>
        <v>0</v>
      </c>
      <c r="P14" s="282">
        <f t="shared" ca="1" si="4"/>
        <v>0</v>
      </c>
      <c r="Q14" s="281">
        <f t="shared" ca="1" si="4"/>
        <v>0</v>
      </c>
      <c r="R14" s="282">
        <f t="shared" ca="1" si="4"/>
        <v>0</v>
      </c>
      <c r="S14" s="282">
        <f t="shared" ca="1" si="4"/>
        <v>0</v>
      </c>
      <c r="T14" s="282">
        <f t="shared" ca="1" si="4"/>
        <v>0</v>
      </c>
      <c r="U14" s="282">
        <f t="shared" ca="1" si="4"/>
        <v>0</v>
      </c>
      <c r="V14" s="282">
        <f t="shared" ca="1" si="4"/>
        <v>0</v>
      </c>
      <c r="W14" s="284">
        <f t="shared" ca="1" si="4"/>
        <v>0</v>
      </c>
      <c r="X14" s="733">
        <f t="shared" ca="1" si="4"/>
        <v>0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2"/>
        <v>45809</v>
      </c>
      <c r="C15" s="281">
        <f t="shared" ref="C15:X15" ca="1" si="5">INDIRECT("'SEM " &amp; $R$5 &amp; "'!" &amp; ADDRESS(ROW(B12), COLUMN(B12)))</f>
        <v>0</v>
      </c>
      <c r="D15" s="282">
        <f t="shared" ca="1" si="5"/>
        <v>0</v>
      </c>
      <c r="E15" s="282">
        <f t="shared" ca="1" si="5"/>
        <v>0</v>
      </c>
      <c r="F15" s="282">
        <f t="shared" ca="1" si="5"/>
        <v>0</v>
      </c>
      <c r="G15" s="282">
        <f t="shared" ca="1" si="5"/>
        <v>0</v>
      </c>
      <c r="H15" s="282">
        <f t="shared" ca="1" si="5"/>
        <v>0</v>
      </c>
      <c r="I15" s="284">
        <f t="shared" ca="1" si="5"/>
        <v>0</v>
      </c>
      <c r="J15" s="285">
        <f t="shared" ca="1" si="5"/>
        <v>0</v>
      </c>
      <c r="K15" s="282">
        <f t="shared" ca="1" si="5"/>
        <v>0</v>
      </c>
      <c r="L15" s="282">
        <f t="shared" ca="1" si="5"/>
        <v>0</v>
      </c>
      <c r="M15" s="282">
        <f t="shared" ca="1" si="5"/>
        <v>0</v>
      </c>
      <c r="N15" s="282">
        <f t="shared" ca="1" si="5"/>
        <v>0</v>
      </c>
      <c r="O15" s="282">
        <f t="shared" ca="1" si="5"/>
        <v>0</v>
      </c>
      <c r="P15" s="282">
        <f t="shared" ca="1" si="5"/>
        <v>0</v>
      </c>
      <c r="Q15" s="281">
        <f t="shared" ca="1" si="5"/>
        <v>0</v>
      </c>
      <c r="R15" s="282">
        <f t="shared" ca="1" si="5"/>
        <v>0</v>
      </c>
      <c r="S15" s="282">
        <f t="shared" ca="1" si="5"/>
        <v>0</v>
      </c>
      <c r="T15" s="282">
        <f t="shared" ca="1" si="5"/>
        <v>0</v>
      </c>
      <c r="U15" s="282">
        <f t="shared" ca="1" si="5"/>
        <v>0</v>
      </c>
      <c r="V15" s="282">
        <f t="shared" ca="1" si="5"/>
        <v>0</v>
      </c>
      <c r="W15" s="284">
        <f t="shared" ca="1" si="5"/>
        <v>0</v>
      </c>
      <c r="X15" s="733">
        <f t="shared" ca="1" si="5"/>
        <v>0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2"/>
        <v>45810</v>
      </c>
      <c r="C16" s="281">
        <f t="shared" ref="C16:X16" ca="1" si="6">INDIRECT("'SEM " &amp; $R$5 &amp; "'!" &amp; ADDRESS(ROW(B13), COLUMN(B13)))</f>
        <v>0</v>
      </c>
      <c r="D16" s="282">
        <f t="shared" ca="1" si="6"/>
        <v>0</v>
      </c>
      <c r="E16" s="282">
        <f t="shared" ca="1" si="6"/>
        <v>0</v>
      </c>
      <c r="F16" s="282">
        <f t="shared" ca="1" si="6"/>
        <v>0</v>
      </c>
      <c r="G16" s="282">
        <f t="shared" ca="1" si="6"/>
        <v>0</v>
      </c>
      <c r="H16" s="282">
        <f t="shared" ca="1" si="6"/>
        <v>0</v>
      </c>
      <c r="I16" s="284">
        <f t="shared" ca="1" si="6"/>
        <v>0</v>
      </c>
      <c r="J16" s="285">
        <f t="shared" ca="1" si="6"/>
        <v>0</v>
      </c>
      <c r="K16" s="282">
        <f t="shared" ca="1" si="6"/>
        <v>0</v>
      </c>
      <c r="L16" s="282">
        <f t="shared" ca="1" si="6"/>
        <v>0</v>
      </c>
      <c r="M16" s="282">
        <f t="shared" ca="1" si="6"/>
        <v>0</v>
      </c>
      <c r="N16" s="282">
        <f t="shared" ca="1" si="6"/>
        <v>0</v>
      </c>
      <c r="O16" s="282">
        <f t="shared" ca="1" si="6"/>
        <v>0</v>
      </c>
      <c r="P16" s="282">
        <f t="shared" ca="1" si="6"/>
        <v>0</v>
      </c>
      <c r="Q16" s="281">
        <f t="shared" ca="1" si="6"/>
        <v>0</v>
      </c>
      <c r="R16" s="282">
        <f t="shared" ca="1" si="6"/>
        <v>0</v>
      </c>
      <c r="S16" s="282">
        <f t="shared" ca="1" si="6"/>
        <v>0</v>
      </c>
      <c r="T16" s="282">
        <f t="shared" ca="1" si="6"/>
        <v>0</v>
      </c>
      <c r="U16" s="282">
        <f t="shared" ca="1" si="6"/>
        <v>0</v>
      </c>
      <c r="V16" s="282">
        <f t="shared" ca="1" si="6"/>
        <v>0</v>
      </c>
      <c r="W16" s="284">
        <f t="shared" ca="1" si="6"/>
        <v>0</v>
      </c>
      <c r="X16" s="733">
        <f t="shared" ca="1" si="6"/>
        <v>0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2"/>
        <v>45811</v>
      </c>
      <c r="C17" s="281">
        <f t="shared" ref="C17:X17" ca="1" si="7">INDIRECT("'SEM " &amp; $R$5 &amp; "'!" &amp; ADDRESS(ROW(B14), COLUMN(B14)))</f>
        <v>0</v>
      </c>
      <c r="D17" s="282">
        <f t="shared" ca="1" si="7"/>
        <v>0</v>
      </c>
      <c r="E17" s="282">
        <f t="shared" ca="1" si="7"/>
        <v>0</v>
      </c>
      <c r="F17" s="282">
        <f t="shared" ca="1" si="7"/>
        <v>0</v>
      </c>
      <c r="G17" s="282">
        <f t="shared" ca="1" si="7"/>
        <v>0</v>
      </c>
      <c r="H17" s="282">
        <f t="shared" ca="1" si="7"/>
        <v>0</v>
      </c>
      <c r="I17" s="284">
        <f t="shared" ca="1" si="7"/>
        <v>0</v>
      </c>
      <c r="J17" s="285">
        <f t="shared" ca="1" si="7"/>
        <v>0</v>
      </c>
      <c r="K17" s="282">
        <f t="shared" ca="1" si="7"/>
        <v>0</v>
      </c>
      <c r="L17" s="282">
        <f t="shared" ca="1" si="7"/>
        <v>0</v>
      </c>
      <c r="M17" s="282">
        <f t="shared" ca="1" si="7"/>
        <v>0</v>
      </c>
      <c r="N17" s="282">
        <f t="shared" ca="1" si="7"/>
        <v>0</v>
      </c>
      <c r="O17" s="282">
        <f t="shared" ca="1" si="7"/>
        <v>0</v>
      </c>
      <c r="P17" s="282">
        <f t="shared" ca="1" si="7"/>
        <v>0</v>
      </c>
      <c r="Q17" s="281">
        <f t="shared" ca="1" si="7"/>
        <v>0</v>
      </c>
      <c r="R17" s="282">
        <f t="shared" ca="1" si="7"/>
        <v>0</v>
      </c>
      <c r="S17" s="282">
        <f t="shared" ca="1" si="7"/>
        <v>0</v>
      </c>
      <c r="T17" s="282">
        <f t="shared" ca="1" si="7"/>
        <v>0</v>
      </c>
      <c r="U17" s="282">
        <f t="shared" ca="1" si="7"/>
        <v>0</v>
      </c>
      <c r="V17" s="282">
        <f t="shared" ca="1" si="7"/>
        <v>0</v>
      </c>
      <c r="W17" s="284">
        <f t="shared" ca="1" si="7"/>
        <v>0</v>
      </c>
      <c r="X17" s="734">
        <f t="shared" ca="1" si="7"/>
        <v>0</v>
      </c>
      <c r="Y17" s="573"/>
      <c r="AB17" s="441"/>
    </row>
    <row r="18" spans="1:28" ht="48" customHeight="1" thickBot="1" x14ac:dyDescent="0.6">
      <c r="A18" s="1094" t="s">
        <v>9</v>
      </c>
      <c r="B18" s="1095"/>
      <c r="C18" s="736">
        <f t="shared" ref="C18:X18" ca="1" si="8">INDIRECT("'SEM " &amp; $R$5 &amp; "'!" &amp; ADDRESS(ROW(B15), COLUMN(B15)))</f>
        <v>167.2</v>
      </c>
      <c r="D18" s="737">
        <f t="shared" ca="1" si="8"/>
        <v>165</v>
      </c>
      <c r="E18" s="737">
        <f t="shared" ca="1" si="8"/>
        <v>165.3</v>
      </c>
      <c r="F18" s="737">
        <f t="shared" ca="1" si="8"/>
        <v>25.6</v>
      </c>
      <c r="G18" s="737">
        <f t="shared" ca="1" si="8"/>
        <v>169.9</v>
      </c>
      <c r="H18" s="737">
        <f t="shared" ca="1" si="8"/>
        <v>165.60000000000002</v>
      </c>
      <c r="I18" s="738">
        <f t="shared" ca="1" si="8"/>
        <v>167</v>
      </c>
      <c r="J18" s="736">
        <f t="shared" ca="1" si="8"/>
        <v>173.8</v>
      </c>
      <c r="K18" s="737">
        <f t="shared" ca="1" si="8"/>
        <v>177</v>
      </c>
      <c r="L18" s="737">
        <f t="shared" ca="1" si="8"/>
        <v>181.6</v>
      </c>
      <c r="M18" s="737">
        <f t="shared" ca="1" si="8"/>
        <v>31.2</v>
      </c>
      <c r="N18" s="737">
        <f t="shared" ca="1" si="8"/>
        <v>178.8</v>
      </c>
      <c r="O18" s="737">
        <f t="shared" ca="1" si="8"/>
        <v>177.8</v>
      </c>
      <c r="P18" s="738">
        <f t="shared" ca="1" si="8"/>
        <v>180.5</v>
      </c>
      <c r="Q18" s="736">
        <f t="shared" ca="1" si="8"/>
        <v>179.8</v>
      </c>
      <c r="R18" s="737">
        <f t="shared" ca="1" si="8"/>
        <v>176.5</v>
      </c>
      <c r="S18" s="737">
        <f t="shared" ca="1" si="8"/>
        <v>176.5</v>
      </c>
      <c r="T18" s="737">
        <f t="shared" ca="1" si="8"/>
        <v>36.6</v>
      </c>
      <c r="U18" s="737">
        <f t="shared" ca="1" si="8"/>
        <v>178.3</v>
      </c>
      <c r="V18" s="737">
        <f t="shared" ca="1" si="8"/>
        <v>177</v>
      </c>
      <c r="W18" s="738">
        <f t="shared" ca="1" si="8"/>
        <v>179.2</v>
      </c>
      <c r="X18" s="735">
        <f t="shared" ca="1" si="8"/>
        <v>3230.2</v>
      </c>
    </row>
    <row r="19" spans="1:28" ht="48" customHeight="1" thickBot="1" x14ac:dyDescent="0.6">
      <c r="A19" s="1096" t="s">
        <v>50</v>
      </c>
      <c r="B19" s="1097"/>
      <c r="C19" s="739">
        <f ca="1">INDIRECT("'SEM " &amp; $R$5 &amp; "'!" &amp; ADDRESS(ROW(B17), COLUMN(B17)))</f>
        <v>543</v>
      </c>
      <c r="D19" s="740">
        <f t="shared" ref="D19:X19" ca="1" si="9">INDIRECT("'SEM " &amp; $R$5 &amp; "'!" &amp; ADDRESS(ROW(C17), COLUMN(C17)))</f>
        <v>536</v>
      </c>
      <c r="E19" s="740">
        <f t="shared" ca="1" si="9"/>
        <v>537</v>
      </c>
      <c r="F19" s="740">
        <f t="shared" ca="1" si="9"/>
        <v>83</v>
      </c>
      <c r="G19" s="740">
        <f t="shared" ca="1" si="9"/>
        <v>552</v>
      </c>
      <c r="H19" s="740">
        <f t="shared" ca="1" si="9"/>
        <v>538</v>
      </c>
      <c r="I19" s="741">
        <f t="shared" ca="1" si="9"/>
        <v>543</v>
      </c>
      <c r="J19" s="739">
        <f t="shared" ca="1" si="9"/>
        <v>565</v>
      </c>
      <c r="K19" s="740">
        <f t="shared" ca="1" si="9"/>
        <v>575</v>
      </c>
      <c r="L19" s="740">
        <f t="shared" ca="1" si="9"/>
        <v>590</v>
      </c>
      <c r="M19" s="740">
        <f t="shared" ca="1" si="9"/>
        <v>102</v>
      </c>
      <c r="N19" s="740">
        <f t="shared" ca="1" si="9"/>
        <v>581</v>
      </c>
      <c r="O19" s="740">
        <f t="shared" ca="1" si="9"/>
        <v>577</v>
      </c>
      <c r="P19" s="741">
        <f t="shared" ca="1" si="9"/>
        <v>586</v>
      </c>
      <c r="Q19" s="739">
        <f t="shared" ca="1" si="9"/>
        <v>584</v>
      </c>
      <c r="R19" s="740">
        <f t="shared" ca="1" si="9"/>
        <v>573</v>
      </c>
      <c r="S19" s="740">
        <f t="shared" ca="1" si="9"/>
        <v>573</v>
      </c>
      <c r="T19" s="740">
        <f t="shared" ca="1" si="9"/>
        <v>119</v>
      </c>
      <c r="U19" s="740">
        <f t="shared" ca="1" si="9"/>
        <v>579</v>
      </c>
      <c r="V19" s="740">
        <f t="shared" ca="1" si="9"/>
        <v>575</v>
      </c>
      <c r="W19" s="741">
        <f t="shared" ca="1" si="9"/>
        <v>582</v>
      </c>
      <c r="X19" s="730">
        <f t="shared" ca="1" si="9"/>
        <v>10493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98"/>
      <c r="N20" s="1098"/>
      <c r="O20" s="1098"/>
      <c r="P20" s="1098"/>
      <c r="Q20" s="1099"/>
      <c r="R20" s="1099"/>
      <c r="S20" s="1099"/>
      <c r="T20" s="1099"/>
      <c r="U20" s="1099"/>
      <c r="V20" s="1099"/>
      <c r="W20" s="1099"/>
      <c r="X20" s="1098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05" t="s">
        <v>27</v>
      </c>
      <c r="B22" s="1106"/>
      <c r="C22" s="1107" t="s">
        <v>8</v>
      </c>
      <c r="D22" s="1108"/>
      <c r="E22" s="1108"/>
      <c r="F22" s="1108"/>
      <c r="G22" s="1108"/>
      <c r="H22" s="1108"/>
      <c r="I22" s="1109"/>
      <c r="J22" s="446"/>
      <c r="K22" s="445"/>
      <c r="L22" s="1110" t="s">
        <v>49</v>
      </c>
      <c r="M22" s="1111"/>
      <c r="N22" s="1107" t="s">
        <v>8</v>
      </c>
      <c r="O22" s="1108"/>
      <c r="P22" s="1108"/>
      <c r="Q22" s="1108"/>
      <c r="R22" s="1108"/>
      <c r="S22" s="1108"/>
      <c r="T22" s="1109"/>
      <c r="U22" s="548"/>
      <c r="V22" s="549"/>
      <c r="W22" s="549"/>
      <c r="X22" s="550"/>
      <c r="Y22" s="549"/>
    </row>
    <row r="23" spans="1:28" ht="48" customHeight="1" thickBot="1" x14ac:dyDescent="0.6">
      <c r="A23" s="1112" t="s">
        <v>48</v>
      </c>
      <c r="B23" s="1113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112" t="s">
        <v>48</v>
      </c>
      <c r="M23" s="1113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45805</v>
      </c>
      <c r="C24" s="360">
        <f ca="1">INDIRECT("'SEM " &amp; $R$5 &amp; "'!" &amp; ADDRESS(ROW(B30), COLUMN(B30)))</f>
        <v>76.099999999999994</v>
      </c>
      <c r="D24" s="338">
        <f t="shared" ref="D24:I24" ca="1" si="10">INDIRECT("'SEM " &amp; $R$5 &amp; "'!" &amp; ADDRESS(ROW(C30), COLUMN(C30)))</f>
        <v>74.400000000000006</v>
      </c>
      <c r="E24" s="338">
        <f t="shared" ca="1" si="10"/>
        <v>3.5</v>
      </c>
      <c r="F24" s="338">
        <f t="shared" ca="1" si="10"/>
        <v>80.400000000000006</v>
      </c>
      <c r="G24" s="338">
        <f t="shared" ca="1" si="10"/>
        <v>82</v>
      </c>
      <c r="H24" s="355">
        <f t="shared" ca="1" si="10"/>
        <v>83.5</v>
      </c>
      <c r="I24" s="731">
        <f t="shared" ca="1" si="10"/>
        <v>399.9</v>
      </c>
      <c r="J24" s="573"/>
      <c r="K24" s="445"/>
      <c r="L24" s="574" t="s">
        <v>120</v>
      </c>
      <c r="M24" s="575">
        <f>B11</f>
        <v>45805</v>
      </c>
      <c r="N24" s="360">
        <f ca="1">INDIRECT("'SEM " &amp; $R$5 &amp; "'!" &amp; ADDRESS(ROW(O30), COLUMN(O30)))</f>
        <v>5.8</v>
      </c>
      <c r="O24" s="282">
        <f t="shared" ref="O24:T24" ca="1" si="11">INDIRECT("'SEM " &amp; $R$5 &amp; "'!" &amp; ADDRESS(ROW(P30), COLUMN(P30)))</f>
        <v>5.7</v>
      </c>
      <c r="P24" s="282">
        <f t="shared" ca="1" si="11"/>
        <v>0.7</v>
      </c>
      <c r="Q24" s="282">
        <f t="shared" ca="1" si="11"/>
        <v>6.3</v>
      </c>
      <c r="R24" s="282">
        <f t="shared" ca="1" si="11"/>
        <v>6.5</v>
      </c>
      <c r="S24" s="282">
        <f t="shared" ca="1" si="11"/>
        <v>6.2</v>
      </c>
      <c r="T24" s="483">
        <f t="shared" ca="1" si="11"/>
        <v>31.2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45806</v>
      </c>
      <c r="C25" s="281">
        <f t="shared" ref="C25:I25" ca="1" si="12">INDIRECT("'SEM " &amp; $R$5 &amp; "'!" &amp; ADDRESS(ROW(B31), COLUMN(B31)))</f>
        <v>76.400000000000006</v>
      </c>
      <c r="D25" s="282">
        <f t="shared" ca="1" si="12"/>
        <v>74.400000000000006</v>
      </c>
      <c r="E25" s="282">
        <f t="shared" ca="1" si="12"/>
        <v>3.6</v>
      </c>
      <c r="F25" s="282">
        <f t="shared" ca="1" si="12"/>
        <v>81.7</v>
      </c>
      <c r="G25" s="282">
        <f t="shared" ca="1" si="12"/>
        <v>83.2</v>
      </c>
      <c r="H25" s="284">
        <f t="shared" ca="1" si="12"/>
        <v>83.8</v>
      </c>
      <c r="I25" s="731">
        <f t="shared" ca="1" si="12"/>
        <v>403.1</v>
      </c>
      <c r="J25" s="573"/>
      <c r="K25" s="445"/>
      <c r="L25" s="574" t="s">
        <v>117</v>
      </c>
      <c r="M25" s="575">
        <f>M24+1</f>
        <v>45806</v>
      </c>
      <c r="N25" s="281">
        <f t="shared" ref="N25:T25" ca="1" si="13">INDIRECT("'SEM " &amp; $R$5 &amp; "'!" &amp; ADDRESS(ROW(O31), COLUMN(O31)))</f>
        <v>5.7</v>
      </c>
      <c r="O25" s="282">
        <f t="shared" ca="1" si="13"/>
        <v>5.7</v>
      </c>
      <c r="P25" s="282">
        <f t="shared" ca="1" si="13"/>
        <v>0.4</v>
      </c>
      <c r="Q25" s="282">
        <f t="shared" ca="1" si="13"/>
        <v>6.4</v>
      </c>
      <c r="R25" s="282">
        <f t="shared" ca="1" si="13"/>
        <v>6.4</v>
      </c>
      <c r="S25" s="282">
        <f t="shared" ca="1" si="13"/>
        <v>6.2</v>
      </c>
      <c r="T25" s="483">
        <f t="shared" ca="1" si="13"/>
        <v>30.8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4">B25+1</f>
        <v>45807</v>
      </c>
      <c r="C26" s="281">
        <f t="shared" ref="C26:I26" ca="1" si="15">INDIRECT("'SEM " &amp; $R$5 &amp; "'!" &amp; ADDRESS(ROW(B32), COLUMN(B32)))</f>
        <v>0</v>
      </c>
      <c r="D26" s="282">
        <f t="shared" ca="1" si="15"/>
        <v>0</v>
      </c>
      <c r="E26" s="282">
        <f t="shared" ca="1" si="15"/>
        <v>0</v>
      </c>
      <c r="F26" s="282">
        <f t="shared" ca="1" si="15"/>
        <v>0</v>
      </c>
      <c r="G26" s="282">
        <f t="shared" ca="1" si="15"/>
        <v>0</v>
      </c>
      <c r="H26" s="284">
        <f t="shared" ca="1" si="15"/>
        <v>0</v>
      </c>
      <c r="I26" s="731">
        <f t="shared" ca="1" si="15"/>
        <v>0</v>
      </c>
      <c r="J26" s="573"/>
      <c r="K26" s="445"/>
      <c r="L26" s="574" t="s">
        <v>121</v>
      </c>
      <c r="M26" s="575">
        <f t="shared" ref="M26:M30" si="16">M25+1</f>
        <v>45807</v>
      </c>
      <c r="N26" s="281">
        <f t="shared" ref="N26:T26" ca="1" si="17">INDIRECT("'SEM " &amp; $R$5 &amp; "'!" &amp; ADDRESS(ROW(O32), COLUMN(O32)))</f>
        <v>5.7</v>
      </c>
      <c r="O26" s="282">
        <f t="shared" ca="1" si="17"/>
        <v>5.7</v>
      </c>
      <c r="P26" s="282">
        <f t="shared" ca="1" si="17"/>
        <v>0.4</v>
      </c>
      <c r="Q26" s="282">
        <f t="shared" ca="1" si="17"/>
        <v>6.5</v>
      </c>
      <c r="R26" s="282">
        <f t="shared" ca="1" si="17"/>
        <v>6.4</v>
      </c>
      <c r="S26" s="282">
        <f t="shared" ca="1" si="17"/>
        <v>6.2</v>
      </c>
      <c r="T26" s="483">
        <f t="shared" ca="1" si="17"/>
        <v>30.900000000000002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4"/>
        <v>45808</v>
      </c>
      <c r="C27" s="281">
        <f t="shared" ref="C27:I27" ca="1" si="18">INDIRECT("'SEM " &amp; $R$5 &amp; "'!" &amp; ADDRESS(ROW(B33), COLUMN(B33)))</f>
        <v>0</v>
      </c>
      <c r="D27" s="282">
        <f t="shared" ca="1" si="18"/>
        <v>0</v>
      </c>
      <c r="E27" s="282">
        <f t="shared" ca="1" si="18"/>
        <v>0</v>
      </c>
      <c r="F27" s="282">
        <f t="shared" ca="1" si="18"/>
        <v>0</v>
      </c>
      <c r="G27" s="282">
        <f t="shared" ca="1" si="18"/>
        <v>0</v>
      </c>
      <c r="H27" s="284">
        <f t="shared" ca="1" si="18"/>
        <v>0</v>
      </c>
      <c r="I27" s="731">
        <f t="shared" ca="1" si="18"/>
        <v>0</v>
      </c>
      <c r="J27" s="573"/>
      <c r="K27" s="445"/>
      <c r="L27" s="574" t="s">
        <v>122</v>
      </c>
      <c r="M27" s="575">
        <f t="shared" si="16"/>
        <v>45808</v>
      </c>
      <c r="N27" s="281">
        <f t="shared" ref="N27:T27" ca="1" si="19">INDIRECT("'SEM " &amp; $R$5 &amp; "'!" &amp; ADDRESS(ROW(O33), COLUMN(O33)))</f>
        <v>5.7</v>
      </c>
      <c r="O27" s="282">
        <f t="shared" ca="1" si="19"/>
        <v>5.8</v>
      </c>
      <c r="P27" s="282">
        <f t="shared" ca="1" si="19"/>
        <v>0.4</v>
      </c>
      <c r="Q27" s="282">
        <f t="shared" ca="1" si="19"/>
        <v>6.5</v>
      </c>
      <c r="R27" s="282">
        <f t="shared" ca="1" si="19"/>
        <v>6.4</v>
      </c>
      <c r="S27" s="282">
        <f t="shared" ca="1" si="19"/>
        <v>6.2</v>
      </c>
      <c r="T27" s="483">
        <f t="shared" ca="1" si="19"/>
        <v>30.999999999999996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4"/>
        <v>45809</v>
      </c>
      <c r="C28" s="281">
        <f t="shared" ref="C28:I28" ca="1" si="20">INDIRECT("'SEM " &amp; $R$5 &amp; "'!" &amp; ADDRESS(ROW(B34), COLUMN(B34)))</f>
        <v>0</v>
      </c>
      <c r="D28" s="282">
        <f t="shared" ca="1" si="20"/>
        <v>0</v>
      </c>
      <c r="E28" s="282">
        <f t="shared" ca="1" si="20"/>
        <v>0</v>
      </c>
      <c r="F28" s="282">
        <f t="shared" ca="1" si="20"/>
        <v>0</v>
      </c>
      <c r="G28" s="282">
        <f t="shared" ca="1" si="20"/>
        <v>0</v>
      </c>
      <c r="H28" s="284">
        <f t="shared" ca="1" si="20"/>
        <v>0</v>
      </c>
      <c r="I28" s="731">
        <f t="shared" ca="1" si="20"/>
        <v>0</v>
      </c>
      <c r="J28" s="573"/>
      <c r="K28" s="445"/>
      <c r="L28" s="574" t="s">
        <v>123</v>
      </c>
      <c r="M28" s="575">
        <f t="shared" si="16"/>
        <v>45809</v>
      </c>
      <c r="N28" s="281">
        <f t="shared" ref="N28:T28" ca="1" si="21">INDIRECT("'SEM " &amp; $R$5 &amp; "'!" &amp; ADDRESS(ROW(O34), COLUMN(O34)))</f>
        <v>5.8</v>
      </c>
      <c r="O28" s="282">
        <f t="shared" ca="1" si="21"/>
        <v>5.8</v>
      </c>
      <c r="P28" s="282">
        <f t="shared" ca="1" si="21"/>
        <v>0.5</v>
      </c>
      <c r="Q28" s="282">
        <f t="shared" ca="1" si="21"/>
        <v>6.6</v>
      </c>
      <c r="R28" s="282">
        <f t="shared" ca="1" si="21"/>
        <v>6.6</v>
      </c>
      <c r="S28" s="282">
        <f t="shared" ca="1" si="21"/>
        <v>6.3</v>
      </c>
      <c r="T28" s="483">
        <f t="shared" ca="1" si="21"/>
        <v>31.599999999999998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4"/>
        <v>45810</v>
      </c>
      <c r="C29" s="281">
        <f t="shared" ref="C29:I29" ca="1" si="22">INDIRECT("'SEM " &amp; $R$5 &amp; "'!" &amp; ADDRESS(ROW(B35), COLUMN(B35)))</f>
        <v>0</v>
      </c>
      <c r="D29" s="282">
        <f t="shared" ca="1" si="22"/>
        <v>0</v>
      </c>
      <c r="E29" s="282">
        <f t="shared" ca="1" si="22"/>
        <v>0</v>
      </c>
      <c r="F29" s="282">
        <f t="shared" ca="1" si="22"/>
        <v>0</v>
      </c>
      <c r="G29" s="282">
        <f t="shared" ca="1" si="22"/>
        <v>0</v>
      </c>
      <c r="H29" s="284">
        <f t="shared" ca="1" si="22"/>
        <v>0</v>
      </c>
      <c r="I29" s="731">
        <f t="shared" ca="1" si="22"/>
        <v>0</v>
      </c>
      <c r="J29" s="573"/>
      <c r="K29" s="445"/>
      <c r="L29" s="574" t="s">
        <v>118</v>
      </c>
      <c r="M29" s="575">
        <f t="shared" si="16"/>
        <v>45810</v>
      </c>
      <c r="N29" s="281">
        <f t="shared" ref="N29:T29" ca="1" si="23">INDIRECT("'SEM " &amp; $R$5 &amp; "'!" &amp; ADDRESS(ROW(O35), COLUMN(O35)))</f>
        <v>5.9</v>
      </c>
      <c r="O29" s="282">
        <f t="shared" ca="1" si="23"/>
        <v>5.8</v>
      </c>
      <c r="P29" s="282">
        <f t="shared" ca="1" si="23"/>
        <v>0.5</v>
      </c>
      <c r="Q29" s="282">
        <f t="shared" ca="1" si="23"/>
        <v>6.6</v>
      </c>
      <c r="R29" s="282">
        <f t="shared" ca="1" si="23"/>
        <v>6.6</v>
      </c>
      <c r="S29" s="282">
        <f t="shared" ca="1" si="23"/>
        <v>6.3</v>
      </c>
      <c r="T29" s="483">
        <f t="shared" ca="1" si="23"/>
        <v>31.7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4"/>
        <v>45811</v>
      </c>
      <c r="C30" s="37">
        <f t="shared" ref="C30:I30" ca="1" si="24">INDIRECT("'SEM " &amp; $R$5 &amp; "'!" &amp; ADDRESS(ROW(B36), COLUMN(B36)))</f>
        <v>0</v>
      </c>
      <c r="D30" s="38">
        <f t="shared" ca="1" si="24"/>
        <v>0</v>
      </c>
      <c r="E30" s="38">
        <f t="shared" ca="1" si="24"/>
        <v>0</v>
      </c>
      <c r="F30" s="38">
        <f t="shared" ca="1" si="24"/>
        <v>0</v>
      </c>
      <c r="G30" s="38">
        <f t="shared" ca="1" si="24"/>
        <v>0</v>
      </c>
      <c r="H30" s="39">
        <f t="shared" ca="1" si="24"/>
        <v>0</v>
      </c>
      <c r="I30" s="731">
        <f t="shared" ca="1" si="24"/>
        <v>0</v>
      </c>
      <c r="J30" s="573"/>
      <c r="K30" s="443"/>
      <c r="L30" s="574" t="s">
        <v>119</v>
      </c>
      <c r="M30" s="575">
        <f t="shared" si="16"/>
        <v>45811</v>
      </c>
      <c r="N30" s="281">
        <f t="shared" ref="N30:T30" ca="1" si="25">INDIRECT("'SEM " &amp; $R$5 &amp; "'!" &amp; ADDRESS(ROW(O36), COLUMN(O36)))</f>
        <v>5.9</v>
      </c>
      <c r="O30" s="282">
        <f t="shared" ca="1" si="25"/>
        <v>5.8</v>
      </c>
      <c r="P30" s="282">
        <f t="shared" ca="1" si="25"/>
        <v>0.5</v>
      </c>
      <c r="Q30" s="282">
        <f t="shared" ca="1" si="25"/>
        <v>6.6</v>
      </c>
      <c r="R30" s="282">
        <f t="shared" ca="1" si="25"/>
        <v>6.6</v>
      </c>
      <c r="S30" s="282">
        <f t="shared" ca="1" si="25"/>
        <v>6.3</v>
      </c>
      <c r="T30" s="483">
        <f t="shared" ca="1" si="25"/>
        <v>31.7</v>
      </c>
      <c r="U30" s="573"/>
      <c r="V30" s="553"/>
      <c r="W30" s="551"/>
      <c r="X30" s="552"/>
      <c r="Y30" s="549"/>
    </row>
    <row r="31" spans="1:28" ht="48" customHeight="1" thickBot="1" x14ac:dyDescent="0.6">
      <c r="A31" s="1094" t="s">
        <v>9</v>
      </c>
      <c r="B31" s="1095"/>
      <c r="C31" s="727">
        <f t="shared" ref="C31:I31" ca="1" si="26">INDIRECT("'SEM " &amp; $R$5 &amp; "'!" &amp; ADDRESS(ROW(B37), COLUMN(B37)))</f>
        <v>152.5</v>
      </c>
      <c r="D31" s="728">
        <f t="shared" ca="1" si="26"/>
        <v>148.80000000000001</v>
      </c>
      <c r="E31" s="728">
        <f t="shared" ca="1" si="26"/>
        <v>7.1</v>
      </c>
      <c r="F31" s="728">
        <f t="shared" ca="1" si="26"/>
        <v>162.10000000000002</v>
      </c>
      <c r="G31" s="728">
        <f t="shared" ca="1" si="26"/>
        <v>165.2</v>
      </c>
      <c r="H31" s="728">
        <f t="shared" ca="1" si="26"/>
        <v>167.3</v>
      </c>
      <c r="I31" s="726">
        <f t="shared" ca="1" si="26"/>
        <v>803</v>
      </c>
      <c r="J31" s="450"/>
      <c r="K31" s="450"/>
      <c r="L31" s="1094" t="s">
        <v>9</v>
      </c>
      <c r="M31" s="1095"/>
      <c r="N31" s="736">
        <f t="shared" ref="N31:T31" ca="1" si="27">INDIRECT("'SEM " &amp; $R$5 &amp; "'!" &amp; ADDRESS(ROW(O37), COLUMN(O37)))</f>
        <v>40.5</v>
      </c>
      <c r="O31" s="737">
        <f t="shared" ca="1" si="27"/>
        <v>40.299999999999997</v>
      </c>
      <c r="P31" s="737">
        <f t="shared" ca="1" si="27"/>
        <v>3.4</v>
      </c>
      <c r="Q31" s="737">
        <f t="shared" ca="1" si="27"/>
        <v>45.5</v>
      </c>
      <c r="R31" s="737">
        <f t="shared" ca="1" si="27"/>
        <v>45.500000000000007</v>
      </c>
      <c r="S31" s="771">
        <f t="shared" ca="1" si="27"/>
        <v>43.699999999999996</v>
      </c>
      <c r="T31" s="726">
        <f t="shared" ca="1" si="27"/>
        <v>218.89999999999998</v>
      </c>
      <c r="U31" s="554"/>
      <c r="V31" s="554"/>
      <c r="W31" s="554"/>
      <c r="X31" s="554"/>
      <c r="Y31" s="554"/>
    </row>
    <row r="32" spans="1:28" ht="48" customHeight="1" thickBot="1" x14ac:dyDescent="0.6">
      <c r="A32" s="1096" t="s">
        <v>50</v>
      </c>
      <c r="B32" s="1097"/>
      <c r="C32" s="739">
        <f ca="1">INDIRECT("'SEM " &amp; $R$5 &amp; "'!" &amp; ADDRESS(ROW(B39), COLUMN(B39)))</f>
        <v>499</v>
      </c>
      <c r="D32" s="740">
        <f t="shared" ref="D32:I32" ca="1" si="28">INDIRECT("'SEM " &amp; $R$5 &amp; "'!" &amp; ADDRESS(ROW(C39), COLUMN(C39)))</f>
        <v>487</v>
      </c>
      <c r="E32" s="740">
        <f t="shared" ca="1" si="28"/>
        <v>24</v>
      </c>
      <c r="F32" s="740">
        <f t="shared" ca="1" si="28"/>
        <v>530</v>
      </c>
      <c r="G32" s="740">
        <f t="shared" ca="1" si="28"/>
        <v>540</v>
      </c>
      <c r="H32" s="741">
        <f t="shared" ca="1" si="28"/>
        <v>548</v>
      </c>
      <c r="I32" s="729">
        <f t="shared" ca="1" si="28"/>
        <v>2628</v>
      </c>
      <c r="J32" s="450"/>
      <c r="K32" s="450"/>
      <c r="L32" s="1096" t="s">
        <v>50</v>
      </c>
      <c r="M32" s="1097"/>
      <c r="N32" s="739">
        <f ca="1">INDIRECT("'SEM " &amp; $R$5 &amp; "'!" &amp; ADDRESS(ROW(O39), COLUMN(O39)))</f>
        <v>37</v>
      </c>
      <c r="O32" s="742">
        <f t="shared" ref="O32:T32" ca="1" si="29">INDIRECT("'SEM " &amp; $R$5 &amp; "'!" &amp; ADDRESS(ROW(P39), COLUMN(P39)))</f>
        <v>37</v>
      </c>
      <c r="P32" s="742">
        <f t="shared" ca="1" si="29"/>
        <v>3</v>
      </c>
      <c r="Q32" s="742">
        <f t="shared" ca="1" si="29"/>
        <v>41</v>
      </c>
      <c r="R32" s="742">
        <f t="shared" ca="1" si="29"/>
        <v>41</v>
      </c>
      <c r="S32" s="772">
        <f t="shared" ca="1" si="29"/>
        <v>39</v>
      </c>
      <c r="T32" s="773">
        <f t="shared" ca="1" si="29"/>
        <v>198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100" t="s">
        <v>19</v>
      </c>
      <c r="B35" s="1101"/>
      <c r="C35" s="1102" t="s">
        <v>113</v>
      </c>
      <c r="D35" s="1103"/>
      <c r="E35" s="1103"/>
      <c r="F35" s="1103"/>
      <c r="G35" s="1103"/>
      <c r="H35" s="1103"/>
      <c r="I35" s="1104"/>
      <c r="J35" s="1102" t="s">
        <v>63</v>
      </c>
      <c r="K35" s="1103"/>
      <c r="L35" s="1103"/>
      <c r="M35" s="1103"/>
      <c r="N35" s="1103"/>
      <c r="O35" s="1103"/>
      <c r="P35" s="1104"/>
      <c r="Q35" s="1102" t="s">
        <v>8</v>
      </c>
      <c r="R35" s="1103"/>
      <c r="S35" s="1103"/>
      <c r="T35" s="1103"/>
      <c r="U35" s="1103"/>
      <c r="V35" s="1103"/>
      <c r="W35" s="1103"/>
      <c r="X35" s="1104"/>
      <c r="Y35" s="434"/>
    </row>
    <row r="36" spans="1:25" ht="48" customHeight="1" thickBot="1" x14ac:dyDescent="0.6">
      <c r="A36" s="1112" t="s">
        <v>48</v>
      </c>
      <c r="B36" s="1113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45805</v>
      </c>
      <c r="C37" s="360">
        <f ca="1">INDIRECT("'SEM " &amp; $R$5 &amp; "'!" &amp; ADDRESS(ROW(B52), COLUMN(B52)))</f>
        <v>7</v>
      </c>
      <c r="D37" s="282">
        <f t="shared" ref="D37:X37" ca="1" si="30">INDIRECT("'SEM " &amp; $R$5 &amp; "'!" &amp; ADDRESS(ROW(C52), COLUMN(C52)))</f>
        <v>6.5</v>
      </c>
      <c r="E37" s="282">
        <f t="shared" ca="1" si="30"/>
        <v>6.8</v>
      </c>
      <c r="F37" s="282">
        <f t="shared" ca="1" si="30"/>
        <v>1.3</v>
      </c>
      <c r="G37" s="282">
        <f t="shared" ca="1" si="30"/>
        <v>6.9</v>
      </c>
      <c r="H37" s="282">
        <f t="shared" ca="1" si="30"/>
        <v>6.9</v>
      </c>
      <c r="I37" s="283">
        <f t="shared" ca="1" si="30"/>
        <v>6.9</v>
      </c>
      <c r="J37" s="281">
        <f t="shared" ca="1" si="30"/>
        <v>7.1</v>
      </c>
      <c r="K37" s="561">
        <f t="shared" ca="1" si="30"/>
        <v>7.1</v>
      </c>
      <c r="L37" s="282">
        <f t="shared" ca="1" si="30"/>
        <v>7.3</v>
      </c>
      <c r="M37" s="561">
        <f t="shared" ca="1" si="30"/>
        <v>1.5</v>
      </c>
      <c r="N37" s="561">
        <f t="shared" ca="1" si="30"/>
        <v>6.9</v>
      </c>
      <c r="O37" s="282">
        <f t="shared" ca="1" si="30"/>
        <v>7.2</v>
      </c>
      <c r="P37" s="474">
        <f t="shared" ca="1" si="30"/>
        <v>6.9</v>
      </c>
      <c r="Q37" s="360">
        <f t="shared" ca="1" si="30"/>
        <v>7.2</v>
      </c>
      <c r="R37" s="338">
        <f t="shared" ca="1" si="30"/>
        <v>7.2</v>
      </c>
      <c r="S37" s="338">
        <f t="shared" ca="1" si="30"/>
        <v>7.1</v>
      </c>
      <c r="T37" s="338">
        <f t="shared" ca="1" si="30"/>
        <v>1.4</v>
      </c>
      <c r="U37" s="338">
        <f t="shared" ca="1" si="30"/>
        <v>7.1</v>
      </c>
      <c r="V37" s="338">
        <f t="shared" ca="1" si="30"/>
        <v>7.2</v>
      </c>
      <c r="W37" s="743">
        <f t="shared" ca="1" si="30"/>
        <v>6.7</v>
      </c>
      <c r="X37" s="489">
        <f t="shared" ca="1" si="30"/>
        <v>130.20000000000002</v>
      </c>
      <c r="Y37" s="573"/>
    </row>
    <row r="38" spans="1:25" ht="48" customHeight="1" x14ac:dyDescent="0.55000000000000004">
      <c r="A38" s="574" t="s">
        <v>117</v>
      </c>
      <c r="B38" s="575">
        <f>B37+1</f>
        <v>45806</v>
      </c>
      <c r="C38" s="281">
        <f t="shared" ref="C38:X38" ca="1" si="31">INDIRECT("'SEM " &amp; $R$5 &amp; "'!" &amp; ADDRESS(ROW(B53), COLUMN(B53)))</f>
        <v>6.9</v>
      </c>
      <c r="D38" s="282">
        <f t="shared" ca="1" si="31"/>
        <v>6.5</v>
      </c>
      <c r="E38" s="282">
        <f t="shared" ca="1" si="31"/>
        <v>6.8</v>
      </c>
      <c r="F38" s="282">
        <f t="shared" ca="1" si="31"/>
        <v>1.3</v>
      </c>
      <c r="G38" s="282">
        <f t="shared" ca="1" si="31"/>
        <v>6.7</v>
      </c>
      <c r="H38" s="282">
        <f t="shared" ca="1" si="31"/>
        <v>6.7</v>
      </c>
      <c r="I38" s="283">
        <f t="shared" ca="1" si="31"/>
        <v>6.8</v>
      </c>
      <c r="J38" s="281">
        <f t="shared" ca="1" si="31"/>
        <v>7.1</v>
      </c>
      <c r="K38" s="561">
        <f t="shared" ca="1" si="31"/>
        <v>7.1</v>
      </c>
      <c r="L38" s="282">
        <f t="shared" ca="1" si="31"/>
        <v>7.3</v>
      </c>
      <c r="M38" s="561">
        <f t="shared" ca="1" si="31"/>
        <v>1.4</v>
      </c>
      <c r="N38" s="561">
        <f t="shared" ca="1" si="31"/>
        <v>6.9</v>
      </c>
      <c r="O38" s="282">
        <f t="shared" ca="1" si="31"/>
        <v>7.2</v>
      </c>
      <c r="P38" s="474">
        <f t="shared" ca="1" si="31"/>
        <v>6.8</v>
      </c>
      <c r="Q38" s="281">
        <f t="shared" ca="1" si="31"/>
        <v>7.2</v>
      </c>
      <c r="R38" s="282">
        <f t="shared" ca="1" si="31"/>
        <v>7.2</v>
      </c>
      <c r="S38" s="282">
        <f t="shared" ca="1" si="31"/>
        <v>7</v>
      </c>
      <c r="T38" s="282">
        <f t="shared" ca="1" si="31"/>
        <v>1.4</v>
      </c>
      <c r="U38" s="282">
        <f t="shared" ca="1" si="31"/>
        <v>7</v>
      </c>
      <c r="V38" s="282">
        <f t="shared" ca="1" si="31"/>
        <v>7.2</v>
      </c>
      <c r="W38" s="283">
        <f t="shared" ca="1" si="31"/>
        <v>6.7</v>
      </c>
      <c r="X38" s="484">
        <f t="shared" ca="1" si="31"/>
        <v>129.20000000000002</v>
      </c>
      <c r="Y38" s="573"/>
    </row>
    <row r="39" spans="1:25" ht="48" customHeight="1" x14ac:dyDescent="0.55000000000000004">
      <c r="A39" s="574" t="s">
        <v>121</v>
      </c>
      <c r="B39" s="575">
        <f t="shared" ref="B39:B43" si="32">B38+1</f>
        <v>45807</v>
      </c>
      <c r="C39" s="281">
        <f t="shared" ref="C39:X39" ca="1" si="33">INDIRECT("'SEM " &amp; $R$5 &amp; "'!" &amp; ADDRESS(ROW(B54), COLUMN(B54)))</f>
        <v>7</v>
      </c>
      <c r="D39" s="282">
        <f t="shared" ca="1" si="33"/>
        <v>6.5</v>
      </c>
      <c r="E39" s="282">
        <f t="shared" ca="1" si="33"/>
        <v>6.8</v>
      </c>
      <c r="F39" s="282">
        <f t="shared" ca="1" si="33"/>
        <v>1.3</v>
      </c>
      <c r="G39" s="282">
        <f t="shared" ca="1" si="33"/>
        <v>6.8</v>
      </c>
      <c r="H39" s="282">
        <f t="shared" ca="1" si="33"/>
        <v>6.7</v>
      </c>
      <c r="I39" s="283">
        <f t="shared" ca="1" si="33"/>
        <v>6.9</v>
      </c>
      <c r="J39" s="281">
        <f t="shared" ca="1" si="33"/>
        <v>7.2</v>
      </c>
      <c r="K39" s="561">
        <f t="shared" ca="1" si="33"/>
        <v>7.2</v>
      </c>
      <c r="L39" s="282">
        <f t="shared" ca="1" si="33"/>
        <v>7.3</v>
      </c>
      <c r="M39" s="561">
        <f t="shared" ca="1" si="33"/>
        <v>1.4</v>
      </c>
      <c r="N39" s="561">
        <f t="shared" ca="1" si="33"/>
        <v>7</v>
      </c>
      <c r="O39" s="282">
        <f t="shared" ca="1" si="33"/>
        <v>7.2</v>
      </c>
      <c r="P39" s="474">
        <f t="shared" ca="1" si="33"/>
        <v>6.9</v>
      </c>
      <c r="Q39" s="281">
        <f t="shared" ca="1" si="33"/>
        <v>7.2</v>
      </c>
      <c r="R39" s="282">
        <f t="shared" ca="1" si="33"/>
        <v>7.2</v>
      </c>
      <c r="S39" s="282">
        <f t="shared" ca="1" si="33"/>
        <v>7.1</v>
      </c>
      <c r="T39" s="282">
        <f t="shared" ca="1" si="33"/>
        <v>1.4</v>
      </c>
      <c r="U39" s="282">
        <f t="shared" ca="1" si="33"/>
        <v>7.1</v>
      </c>
      <c r="V39" s="282">
        <f t="shared" ca="1" si="33"/>
        <v>7.2</v>
      </c>
      <c r="W39" s="283">
        <f t="shared" ca="1" si="33"/>
        <v>6.7</v>
      </c>
      <c r="X39" s="484">
        <f t="shared" ca="1" si="33"/>
        <v>130.10000000000002</v>
      </c>
      <c r="Y39" s="573"/>
    </row>
    <row r="40" spans="1:25" ht="48" customHeight="1" x14ac:dyDescent="0.55000000000000004">
      <c r="A40" s="574" t="s">
        <v>122</v>
      </c>
      <c r="B40" s="575">
        <f t="shared" si="32"/>
        <v>45808</v>
      </c>
      <c r="C40" s="281">
        <f t="shared" ref="C40:X40" ca="1" si="34">INDIRECT("'SEM " &amp; $R$5 &amp; "'!" &amp; ADDRESS(ROW(B55), COLUMN(B55)))</f>
        <v>7</v>
      </c>
      <c r="D40" s="282">
        <f t="shared" ca="1" si="34"/>
        <v>6.5</v>
      </c>
      <c r="E40" s="282">
        <f t="shared" ca="1" si="34"/>
        <v>6.8</v>
      </c>
      <c r="F40" s="282">
        <f t="shared" ca="1" si="34"/>
        <v>1.3</v>
      </c>
      <c r="G40" s="282">
        <f t="shared" ca="1" si="34"/>
        <v>6.8</v>
      </c>
      <c r="H40" s="282">
        <f t="shared" ca="1" si="34"/>
        <v>6.7</v>
      </c>
      <c r="I40" s="283">
        <f t="shared" ca="1" si="34"/>
        <v>6.9</v>
      </c>
      <c r="J40" s="281">
        <f t="shared" ca="1" si="34"/>
        <v>7.2</v>
      </c>
      <c r="K40" s="561">
        <f t="shared" ca="1" si="34"/>
        <v>7.2</v>
      </c>
      <c r="L40" s="282">
        <f t="shared" ca="1" si="34"/>
        <v>7.3</v>
      </c>
      <c r="M40" s="561">
        <f t="shared" ca="1" si="34"/>
        <v>1.4</v>
      </c>
      <c r="N40" s="561">
        <f t="shared" ca="1" si="34"/>
        <v>7</v>
      </c>
      <c r="O40" s="282">
        <f t="shared" ca="1" si="34"/>
        <v>7.2</v>
      </c>
      <c r="P40" s="474">
        <f t="shared" ca="1" si="34"/>
        <v>6.9</v>
      </c>
      <c r="Q40" s="281">
        <f t="shared" ca="1" si="34"/>
        <v>7.3</v>
      </c>
      <c r="R40" s="282">
        <f t="shared" ca="1" si="34"/>
        <v>7.3</v>
      </c>
      <c r="S40" s="282">
        <f t="shared" ca="1" si="34"/>
        <v>7.1</v>
      </c>
      <c r="T40" s="282">
        <f t="shared" ca="1" si="34"/>
        <v>1.4</v>
      </c>
      <c r="U40" s="282">
        <f t="shared" ca="1" si="34"/>
        <v>7.1</v>
      </c>
      <c r="V40" s="282">
        <f t="shared" ca="1" si="34"/>
        <v>7.2</v>
      </c>
      <c r="W40" s="283">
        <f t="shared" ca="1" si="34"/>
        <v>6.7</v>
      </c>
      <c r="X40" s="484">
        <f t="shared" ca="1" si="34"/>
        <v>130.30000000000001</v>
      </c>
      <c r="Y40" s="573"/>
    </row>
    <row r="41" spans="1:25" ht="48" customHeight="1" x14ac:dyDescent="0.55000000000000004">
      <c r="A41" s="574" t="s">
        <v>123</v>
      </c>
      <c r="B41" s="575">
        <f t="shared" si="32"/>
        <v>45809</v>
      </c>
      <c r="C41" s="281">
        <f t="shared" ref="C41:X41" ca="1" si="35">INDIRECT("'SEM " &amp; $R$5 &amp; "'!" &amp; ADDRESS(ROW(B56), COLUMN(B56)))</f>
        <v>7</v>
      </c>
      <c r="D41" s="282">
        <f t="shared" ca="1" si="35"/>
        <v>6.5</v>
      </c>
      <c r="E41" s="282">
        <f t="shared" ca="1" si="35"/>
        <v>6.8</v>
      </c>
      <c r="F41" s="282">
        <f t="shared" ca="1" si="35"/>
        <v>1.3</v>
      </c>
      <c r="G41" s="282">
        <f t="shared" ca="1" si="35"/>
        <v>6.8</v>
      </c>
      <c r="H41" s="282">
        <f t="shared" ca="1" si="35"/>
        <v>6.7</v>
      </c>
      <c r="I41" s="283">
        <f t="shared" ca="1" si="35"/>
        <v>7</v>
      </c>
      <c r="J41" s="281">
        <f t="shared" ca="1" si="35"/>
        <v>7.2</v>
      </c>
      <c r="K41" s="561">
        <f t="shared" ca="1" si="35"/>
        <v>7.2</v>
      </c>
      <c r="L41" s="282">
        <f t="shared" ca="1" si="35"/>
        <v>7.3</v>
      </c>
      <c r="M41" s="561">
        <f t="shared" ca="1" si="35"/>
        <v>1.5</v>
      </c>
      <c r="N41" s="561">
        <f t="shared" ca="1" si="35"/>
        <v>7</v>
      </c>
      <c r="O41" s="282">
        <f t="shared" ca="1" si="35"/>
        <v>7.3</v>
      </c>
      <c r="P41" s="474">
        <f t="shared" ca="1" si="35"/>
        <v>7</v>
      </c>
      <c r="Q41" s="281">
        <f t="shared" ca="1" si="35"/>
        <v>7.3</v>
      </c>
      <c r="R41" s="282">
        <f t="shared" ca="1" si="35"/>
        <v>7.3</v>
      </c>
      <c r="S41" s="282">
        <f t="shared" ca="1" si="35"/>
        <v>7.2</v>
      </c>
      <c r="T41" s="282">
        <f t="shared" ca="1" si="35"/>
        <v>1.5</v>
      </c>
      <c r="U41" s="282">
        <f t="shared" ca="1" si="35"/>
        <v>7.2</v>
      </c>
      <c r="V41" s="282">
        <f t="shared" ca="1" si="35"/>
        <v>7.2</v>
      </c>
      <c r="W41" s="283">
        <f t="shared" ca="1" si="35"/>
        <v>6.8</v>
      </c>
      <c r="X41" s="484">
        <f t="shared" ca="1" si="35"/>
        <v>131.10000000000002</v>
      </c>
      <c r="Y41" s="573"/>
    </row>
    <row r="42" spans="1:25" ht="48" customHeight="1" x14ac:dyDescent="0.55000000000000004">
      <c r="A42" s="574" t="s">
        <v>118</v>
      </c>
      <c r="B42" s="575">
        <f t="shared" si="32"/>
        <v>45810</v>
      </c>
      <c r="C42" s="281">
        <f t="shared" ref="C42:X42" ca="1" si="36">INDIRECT("'SEM " &amp; $R$5 &amp; "'!" &amp; ADDRESS(ROW(B57), COLUMN(B57)))</f>
        <v>7</v>
      </c>
      <c r="D42" s="282">
        <f t="shared" ca="1" si="36"/>
        <v>6.5</v>
      </c>
      <c r="E42" s="282">
        <f t="shared" ca="1" si="36"/>
        <v>6.8</v>
      </c>
      <c r="F42" s="282">
        <f t="shared" ca="1" si="36"/>
        <v>1.3</v>
      </c>
      <c r="G42" s="282">
        <f t="shared" ca="1" si="36"/>
        <v>6.8</v>
      </c>
      <c r="H42" s="282">
        <f t="shared" ca="1" si="36"/>
        <v>6.8</v>
      </c>
      <c r="I42" s="283">
        <f t="shared" ca="1" si="36"/>
        <v>7</v>
      </c>
      <c r="J42" s="281">
        <f t="shared" ca="1" si="36"/>
        <v>7.2</v>
      </c>
      <c r="K42" s="561">
        <f t="shared" ca="1" si="36"/>
        <v>7.2</v>
      </c>
      <c r="L42" s="282">
        <f t="shared" ca="1" si="36"/>
        <v>7.3</v>
      </c>
      <c r="M42" s="561">
        <f t="shared" ca="1" si="36"/>
        <v>1.5</v>
      </c>
      <c r="N42" s="561">
        <f t="shared" ca="1" si="36"/>
        <v>7</v>
      </c>
      <c r="O42" s="282">
        <f t="shared" ca="1" si="36"/>
        <v>7.3</v>
      </c>
      <c r="P42" s="474">
        <f t="shared" ca="1" si="36"/>
        <v>7</v>
      </c>
      <c r="Q42" s="281">
        <f t="shared" ca="1" si="36"/>
        <v>7.3</v>
      </c>
      <c r="R42" s="282">
        <f t="shared" ca="1" si="36"/>
        <v>7.3</v>
      </c>
      <c r="S42" s="282">
        <f t="shared" ca="1" si="36"/>
        <v>7.2</v>
      </c>
      <c r="T42" s="282">
        <f t="shared" ca="1" si="36"/>
        <v>1.5</v>
      </c>
      <c r="U42" s="282">
        <f t="shared" ca="1" si="36"/>
        <v>7.2</v>
      </c>
      <c r="V42" s="282">
        <f t="shared" ca="1" si="36"/>
        <v>7.3</v>
      </c>
      <c r="W42" s="283">
        <f t="shared" ca="1" si="36"/>
        <v>6.8</v>
      </c>
      <c r="X42" s="484">
        <f t="shared" ca="1" si="36"/>
        <v>131.30000000000001</v>
      </c>
      <c r="Y42" s="573"/>
    </row>
    <row r="43" spans="1:25" ht="48" customHeight="1" thickBot="1" x14ac:dyDescent="0.6">
      <c r="A43" s="574" t="s">
        <v>119</v>
      </c>
      <c r="B43" s="575">
        <f t="shared" si="32"/>
        <v>45811</v>
      </c>
      <c r="C43" s="281">
        <f t="shared" ref="C43:X43" ca="1" si="37">INDIRECT("'SEM " &amp; $R$5 &amp; "'!" &amp; ADDRESS(ROW(B58), COLUMN(B58)))</f>
        <v>7</v>
      </c>
      <c r="D43" s="282">
        <f t="shared" ca="1" si="37"/>
        <v>6.5</v>
      </c>
      <c r="E43" s="282">
        <f t="shared" ca="1" si="37"/>
        <v>6.8</v>
      </c>
      <c r="F43" s="282">
        <f t="shared" ca="1" si="37"/>
        <v>1.3</v>
      </c>
      <c r="G43" s="282">
        <f t="shared" ca="1" si="37"/>
        <v>6.8</v>
      </c>
      <c r="H43" s="282">
        <f t="shared" ca="1" si="37"/>
        <v>6.8</v>
      </c>
      <c r="I43" s="283">
        <f t="shared" ca="1" si="37"/>
        <v>7</v>
      </c>
      <c r="J43" s="281">
        <f t="shared" ca="1" si="37"/>
        <v>7.2</v>
      </c>
      <c r="K43" s="561">
        <f t="shared" ca="1" si="37"/>
        <v>7.2</v>
      </c>
      <c r="L43" s="282">
        <f t="shared" ca="1" si="37"/>
        <v>7.4</v>
      </c>
      <c r="M43" s="561">
        <f t="shared" ca="1" si="37"/>
        <v>1.5</v>
      </c>
      <c r="N43" s="561">
        <f t="shared" ca="1" si="37"/>
        <v>7</v>
      </c>
      <c r="O43" s="282">
        <f t="shared" ca="1" si="37"/>
        <v>7.3</v>
      </c>
      <c r="P43" s="474">
        <f t="shared" ca="1" si="37"/>
        <v>7</v>
      </c>
      <c r="Q43" s="37">
        <f t="shared" ca="1" si="37"/>
        <v>7.3</v>
      </c>
      <c r="R43" s="38">
        <f t="shared" ca="1" si="37"/>
        <v>7.3</v>
      </c>
      <c r="S43" s="38">
        <f t="shared" ca="1" si="37"/>
        <v>7.2</v>
      </c>
      <c r="T43" s="38">
        <f t="shared" ca="1" si="37"/>
        <v>1.6</v>
      </c>
      <c r="U43" s="38">
        <f t="shared" ca="1" si="37"/>
        <v>7.2</v>
      </c>
      <c r="V43" s="38">
        <f t="shared" ca="1" si="37"/>
        <v>7.3</v>
      </c>
      <c r="W43" s="158">
        <f t="shared" ca="1" si="37"/>
        <v>6.8</v>
      </c>
      <c r="X43" s="565">
        <f t="shared" ca="1" si="37"/>
        <v>131.5</v>
      </c>
      <c r="Y43" s="573"/>
    </row>
    <row r="44" spans="1:25" ht="48" customHeight="1" thickBot="1" x14ac:dyDescent="0.6">
      <c r="A44" s="1094" t="s">
        <v>9</v>
      </c>
      <c r="B44" s="1095"/>
      <c r="C44" s="749">
        <f t="shared" ref="C44:X44" ca="1" si="38">INDIRECT("'SEM " &amp; $R$5 &amp; "'!" &amp; ADDRESS(ROW(B59), COLUMN(B59)))</f>
        <v>48.9</v>
      </c>
      <c r="D44" s="750">
        <f t="shared" ca="1" si="38"/>
        <v>45.5</v>
      </c>
      <c r="E44" s="750">
        <f t="shared" ca="1" si="38"/>
        <v>47.599999999999994</v>
      </c>
      <c r="F44" s="750">
        <f t="shared" ca="1" si="38"/>
        <v>9.1</v>
      </c>
      <c r="G44" s="750">
        <f t="shared" ca="1" si="38"/>
        <v>47.599999999999994</v>
      </c>
      <c r="H44" s="750">
        <f t="shared" ca="1" si="38"/>
        <v>47.3</v>
      </c>
      <c r="I44" s="751">
        <f t="shared" ca="1" si="38"/>
        <v>48.5</v>
      </c>
      <c r="J44" s="749">
        <f t="shared" ca="1" si="38"/>
        <v>50.2</v>
      </c>
      <c r="K44" s="750">
        <f t="shared" ca="1" si="38"/>
        <v>50.2</v>
      </c>
      <c r="L44" s="750">
        <f t="shared" ca="1" si="38"/>
        <v>51.199999999999996</v>
      </c>
      <c r="M44" s="750">
        <f t="shared" ca="1" si="38"/>
        <v>10.199999999999999</v>
      </c>
      <c r="N44" s="750">
        <f t="shared" ca="1" si="38"/>
        <v>48.8</v>
      </c>
      <c r="O44" s="750">
        <f t="shared" ca="1" si="38"/>
        <v>50.699999999999996</v>
      </c>
      <c r="P44" s="751">
        <f t="shared" ca="1" si="38"/>
        <v>48.5</v>
      </c>
      <c r="Q44" s="749">
        <f t="shared" ca="1" si="38"/>
        <v>50.8</v>
      </c>
      <c r="R44" s="750">
        <f t="shared" ca="1" si="38"/>
        <v>50.8</v>
      </c>
      <c r="S44" s="750">
        <f t="shared" ca="1" si="38"/>
        <v>49.900000000000006</v>
      </c>
      <c r="T44" s="750">
        <f t="shared" ca="1" si="38"/>
        <v>10.199999999999999</v>
      </c>
      <c r="U44" s="750">
        <f t="shared" ca="1" si="38"/>
        <v>49.900000000000006</v>
      </c>
      <c r="V44" s="750">
        <f t="shared" ca="1" si="38"/>
        <v>50.599999999999994</v>
      </c>
      <c r="W44" s="751">
        <f t="shared" ca="1" si="38"/>
        <v>47.199999999999996</v>
      </c>
      <c r="X44" s="566">
        <f t="shared" ca="1" si="38"/>
        <v>913.7</v>
      </c>
      <c r="Y44" s="434"/>
    </row>
    <row r="45" spans="1:25" ht="48" customHeight="1" thickBot="1" x14ac:dyDescent="0.6">
      <c r="A45" s="1096" t="s">
        <v>50</v>
      </c>
      <c r="B45" s="1097"/>
      <c r="C45" s="739">
        <f ca="1">INDIRECT("'SEM " &amp; $R$5 &amp; "'!" &amp; ADDRESS(ROW(B61), COLUMN(B61)))</f>
        <v>43</v>
      </c>
      <c r="D45" s="745">
        <f t="shared" ref="D45:X45" ca="1" si="39">INDIRECT("'SEM " &amp; $R$5 &amp; "'!" &amp; ADDRESS(ROW(C61), COLUMN(C61)))</f>
        <v>40</v>
      </c>
      <c r="E45" s="745">
        <f t="shared" ca="1" si="39"/>
        <v>42</v>
      </c>
      <c r="F45" s="745">
        <f t="shared" ca="1" si="39"/>
        <v>8</v>
      </c>
      <c r="G45" s="745">
        <f t="shared" ca="1" si="39"/>
        <v>42</v>
      </c>
      <c r="H45" s="745">
        <f t="shared" ca="1" si="39"/>
        <v>42</v>
      </c>
      <c r="I45" s="746">
        <f t="shared" ca="1" si="39"/>
        <v>43</v>
      </c>
      <c r="J45" s="747">
        <f t="shared" ca="1" si="39"/>
        <v>44</v>
      </c>
      <c r="K45" s="745">
        <f t="shared" ca="1" si="39"/>
        <v>44</v>
      </c>
      <c r="L45" s="745">
        <f t="shared" ca="1" si="39"/>
        <v>45</v>
      </c>
      <c r="M45" s="745">
        <f t="shared" ca="1" si="39"/>
        <v>9</v>
      </c>
      <c r="N45" s="745">
        <f t="shared" ca="1" si="39"/>
        <v>43</v>
      </c>
      <c r="O45" s="745">
        <f t="shared" ca="1" si="39"/>
        <v>45</v>
      </c>
      <c r="P45" s="748">
        <f t="shared" ca="1" si="39"/>
        <v>43</v>
      </c>
      <c r="Q45" s="739">
        <f t="shared" ca="1" si="39"/>
        <v>44</v>
      </c>
      <c r="R45" s="740">
        <f t="shared" ca="1" si="39"/>
        <v>44</v>
      </c>
      <c r="S45" s="740">
        <f t="shared" ca="1" si="39"/>
        <v>44</v>
      </c>
      <c r="T45" s="740">
        <f t="shared" ca="1" si="39"/>
        <v>9</v>
      </c>
      <c r="U45" s="740">
        <f t="shared" ca="1" si="39"/>
        <v>44</v>
      </c>
      <c r="V45" s="740">
        <f t="shared" ca="1" si="39"/>
        <v>45</v>
      </c>
      <c r="W45" s="744">
        <f t="shared" ca="1" si="39"/>
        <v>42</v>
      </c>
      <c r="X45" s="567">
        <f t="shared" ca="1" si="39"/>
        <v>805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sheetProtection algorithmName="SHA-512" hashValue="VkYdpgSgCYvVgyJDRkMbcnODQVmuO4tkN2Bk5spk1Gqt+Zz0F8fFRByLHfyMeUb+s5/OPs4wlWUlZtsh4YIxPg==" saltValue="E7fSSaVjymopA1yL04YWeQ==" spinCount="100000" sheet="1" objects="1" scenarios="1"/>
  <protectedRanges>
    <protectedRange sqref="X7:Z7" name="Rango2"/>
    <protectedRange sqref="R5" name="Rango1"/>
  </protectedRanges>
  <mergeCells count="40"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X6:Y6"/>
    <mergeCell ref="X7:Y7"/>
    <mergeCell ref="A9:B9"/>
    <mergeCell ref="C9:I9"/>
    <mergeCell ref="J9:P9"/>
    <mergeCell ref="Q9:X9"/>
    <mergeCell ref="A10:B10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44:B44"/>
    <mergeCell ref="A31:B31"/>
    <mergeCell ref="L31:M31"/>
    <mergeCell ref="A32:B32"/>
    <mergeCell ref="L32:M32"/>
  </mergeCells>
  <conditionalFormatting sqref="C26:H30">
    <cfRule type="cellIs" dxfId="11" priority="4" operator="equal">
      <formula>0</formula>
    </cfRule>
  </conditionalFormatting>
  <conditionalFormatting sqref="C13:W17">
    <cfRule type="cellIs" dxfId="10" priority="5" operator="equal">
      <formula>0</formula>
    </cfRule>
  </conditionalFormatting>
  <conditionalFormatting sqref="C39:W43">
    <cfRule type="cellIs" dxfId="9" priority="1" operator="equal">
      <formula>0</formula>
    </cfRule>
  </conditionalFormatting>
  <conditionalFormatting sqref="N26:S30">
    <cfRule type="cellIs" dxfId="8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Z69"/>
  <sheetViews>
    <sheetView zoomScale="85" zoomScaleNormal="85" workbookViewId="0">
      <pane xSplit="1" topLeftCell="B1" activePane="topRight" state="frozen"/>
      <selection pane="topRight" activeCell="T3" sqref="T3:U3"/>
    </sheetView>
  </sheetViews>
  <sheetFormatPr baseColWidth="10" defaultRowHeight="15" x14ac:dyDescent="0.25"/>
  <cols>
    <col min="1" max="1" width="17.5703125" style="798" bestFit="1" customWidth="1"/>
    <col min="2" max="7" width="7.85546875" style="798" bestFit="1" customWidth="1"/>
    <col min="8" max="8" width="8.140625" style="798" bestFit="1" customWidth="1"/>
    <col min="9" max="9" width="7.28515625" style="798" bestFit="1" customWidth="1"/>
    <col min="10" max="11" width="6.85546875" style="798" bestFit="1" customWidth="1"/>
    <col min="12" max="12" width="7.85546875" style="798" customWidth="1"/>
    <col min="13" max="13" width="6.85546875" style="798" bestFit="1" customWidth="1"/>
    <col min="14" max="14" width="8.5703125" style="798" customWidth="1"/>
    <col min="15" max="19" width="6.85546875" style="798" bestFit="1" customWidth="1"/>
    <col min="20" max="20" width="7.42578125" style="798" customWidth="1"/>
    <col min="21" max="21" width="7.85546875" style="798" customWidth="1"/>
    <col min="22" max="22" width="9.140625" style="798" customWidth="1"/>
    <col min="23" max="23" width="9.5703125" style="798" bestFit="1" customWidth="1"/>
    <col min="24" max="24" width="8.28515625" style="798" bestFit="1" customWidth="1"/>
    <col min="25" max="25" width="10.5703125" style="798" bestFit="1" customWidth="1"/>
    <col min="26" max="26" width="24.7109375" style="798" customWidth="1"/>
    <col min="27" max="27" width="21.28515625" style="798" bestFit="1" customWidth="1"/>
    <col min="28" max="252" width="11.42578125" style="798"/>
    <col min="253" max="253" width="34.42578125" style="798" customWidth="1"/>
    <col min="254" max="255" width="19.42578125" style="798" bestFit="1" customWidth="1"/>
    <col min="256" max="256" width="19.7109375" style="798" customWidth="1"/>
    <col min="257" max="258" width="20.42578125" style="798" customWidth="1"/>
    <col min="259" max="260" width="19.7109375" style="798" customWidth="1"/>
    <col min="261" max="261" width="25.28515625" style="798" customWidth="1"/>
    <col min="262" max="262" width="26" style="798" customWidth="1"/>
    <col min="263" max="263" width="22.28515625" style="798" customWidth="1"/>
    <col min="264" max="264" width="24.85546875" style="798" customWidth="1"/>
    <col min="265" max="265" width="21.140625" style="798" customWidth="1"/>
    <col min="266" max="266" width="21.42578125" style="798" customWidth="1"/>
    <col min="267" max="267" width="27.85546875" style="798" customWidth="1"/>
    <col min="268" max="268" width="23.42578125" style="798" customWidth="1"/>
    <col min="269" max="269" width="21.42578125" style="798" customWidth="1"/>
    <col min="270" max="272" width="20.7109375" style="798" customWidth="1"/>
    <col min="273" max="273" width="32.28515625" style="798" bestFit="1" customWidth="1"/>
    <col min="274" max="274" width="20.7109375" style="798" customWidth="1"/>
    <col min="275" max="275" width="22" style="798" customWidth="1"/>
    <col min="276" max="279" width="21.28515625" style="798" customWidth="1"/>
    <col min="280" max="280" width="22.28515625" style="798" customWidth="1"/>
    <col min="281" max="282" width="11.42578125" style="798"/>
    <col min="283" max="283" width="14.85546875" style="798" bestFit="1" customWidth="1"/>
    <col min="284" max="508" width="11.42578125" style="798"/>
    <col min="509" max="509" width="34.42578125" style="798" customWidth="1"/>
    <col min="510" max="511" width="19.42578125" style="798" bestFit="1" customWidth="1"/>
    <col min="512" max="512" width="19.7109375" style="798" customWidth="1"/>
    <col min="513" max="514" width="20.42578125" style="798" customWidth="1"/>
    <col min="515" max="516" width="19.7109375" style="798" customWidth="1"/>
    <col min="517" max="517" width="25.28515625" style="798" customWidth="1"/>
    <col min="518" max="518" width="26" style="798" customWidth="1"/>
    <col min="519" max="519" width="22.28515625" style="798" customWidth="1"/>
    <col min="520" max="520" width="24.85546875" style="798" customWidth="1"/>
    <col min="521" max="521" width="21.140625" style="798" customWidth="1"/>
    <col min="522" max="522" width="21.42578125" style="798" customWidth="1"/>
    <col min="523" max="523" width="27.85546875" style="798" customWidth="1"/>
    <col min="524" max="524" width="23.42578125" style="798" customWidth="1"/>
    <col min="525" max="525" width="21.42578125" style="798" customWidth="1"/>
    <col min="526" max="528" width="20.7109375" style="798" customWidth="1"/>
    <col min="529" max="529" width="32.28515625" style="798" bestFit="1" customWidth="1"/>
    <col min="530" max="530" width="20.7109375" style="798" customWidth="1"/>
    <col min="531" max="531" width="22" style="798" customWidth="1"/>
    <col min="532" max="535" width="21.28515625" style="798" customWidth="1"/>
    <col min="536" max="536" width="22.28515625" style="798" customWidth="1"/>
    <col min="537" max="538" width="11.42578125" style="798"/>
    <col min="539" max="539" width="14.85546875" style="798" bestFit="1" customWidth="1"/>
    <col min="540" max="764" width="11.42578125" style="798"/>
    <col min="765" max="765" width="34.42578125" style="798" customWidth="1"/>
    <col min="766" max="767" width="19.42578125" style="798" bestFit="1" customWidth="1"/>
    <col min="768" max="768" width="19.7109375" style="798" customWidth="1"/>
    <col min="769" max="770" width="20.42578125" style="798" customWidth="1"/>
    <col min="771" max="772" width="19.7109375" style="798" customWidth="1"/>
    <col min="773" max="773" width="25.28515625" style="798" customWidth="1"/>
    <col min="774" max="774" width="26" style="798" customWidth="1"/>
    <col min="775" max="775" width="22.28515625" style="798" customWidth="1"/>
    <col min="776" max="776" width="24.85546875" style="798" customWidth="1"/>
    <col min="777" max="777" width="21.140625" style="798" customWidth="1"/>
    <col min="778" max="778" width="21.42578125" style="798" customWidth="1"/>
    <col min="779" max="779" width="27.85546875" style="798" customWidth="1"/>
    <col min="780" max="780" width="23.42578125" style="798" customWidth="1"/>
    <col min="781" max="781" width="21.42578125" style="798" customWidth="1"/>
    <col min="782" max="784" width="20.7109375" style="798" customWidth="1"/>
    <col min="785" max="785" width="32.28515625" style="798" bestFit="1" customWidth="1"/>
    <col min="786" max="786" width="20.7109375" style="798" customWidth="1"/>
    <col min="787" max="787" width="22" style="798" customWidth="1"/>
    <col min="788" max="791" width="21.28515625" style="798" customWidth="1"/>
    <col min="792" max="792" width="22.28515625" style="798" customWidth="1"/>
    <col min="793" max="794" width="11.42578125" style="798"/>
    <col min="795" max="795" width="14.85546875" style="798" bestFit="1" customWidth="1"/>
    <col min="796" max="1020" width="11.42578125" style="798"/>
    <col min="1021" max="1021" width="34.42578125" style="798" customWidth="1"/>
    <col min="1022" max="1023" width="19.42578125" style="798" bestFit="1" customWidth="1"/>
    <col min="1024" max="1024" width="19.7109375" style="798" customWidth="1"/>
    <col min="1025" max="1026" width="20.42578125" style="798" customWidth="1"/>
    <col min="1027" max="1028" width="19.7109375" style="798" customWidth="1"/>
    <col min="1029" max="1029" width="25.28515625" style="798" customWidth="1"/>
    <col min="1030" max="1030" width="26" style="798" customWidth="1"/>
    <col min="1031" max="1031" width="22.28515625" style="798" customWidth="1"/>
    <col min="1032" max="1032" width="24.85546875" style="798" customWidth="1"/>
    <col min="1033" max="1033" width="21.140625" style="798" customWidth="1"/>
    <col min="1034" max="1034" width="21.42578125" style="798" customWidth="1"/>
    <col min="1035" max="1035" width="27.85546875" style="798" customWidth="1"/>
    <col min="1036" max="1036" width="23.42578125" style="798" customWidth="1"/>
    <col min="1037" max="1037" width="21.42578125" style="798" customWidth="1"/>
    <col min="1038" max="1040" width="20.7109375" style="798" customWidth="1"/>
    <col min="1041" max="1041" width="32.28515625" style="798" bestFit="1" customWidth="1"/>
    <col min="1042" max="1042" width="20.7109375" style="798" customWidth="1"/>
    <col min="1043" max="1043" width="22" style="798" customWidth="1"/>
    <col min="1044" max="1047" width="21.28515625" style="798" customWidth="1"/>
    <col min="1048" max="1048" width="22.28515625" style="798" customWidth="1"/>
    <col min="1049" max="1050" width="11.42578125" style="798"/>
    <col min="1051" max="1051" width="14.85546875" style="798" bestFit="1" customWidth="1"/>
    <col min="1052" max="1276" width="11.42578125" style="798"/>
    <col min="1277" max="1277" width="34.42578125" style="798" customWidth="1"/>
    <col min="1278" max="1279" width="19.42578125" style="798" bestFit="1" customWidth="1"/>
    <col min="1280" max="1280" width="19.7109375" style="798" customWidth="1"/>
    <col min="1281" max="1282" width="20.42578125" style="798" customWidth="1"/>
    <col min="1283" max="1284" width="19.7109375" style="798" customWidth="1"/>
    <col min="1285" max="1285" width="25.28515625" style="798" customWidth="1"/>
    <col min="1286" max="1286" width="26" style="798" customWidth="1"/>
    <col min="1287" max="1287" width="22.28515625" style="798" customWidth="1"/>
    <col min="1288" max="1288" width="24.85546875" style="798" customWidth="1"/>
    <col min="1289" max="1289" width="21.140625" style="798" customWidth="1"/>
    <col min="1290" max="1290" width="21.42578125" style="798" customWidth="1"/>
    <col min="1291" max="1291" width="27.85546875" style="798" customWidth="1"/>
    <col min="1292" max="1292" width="23.42578125" style="798" customWidth="1"/>
    <col min="1293" max="1293" width="21.42578125" style="798" customWidth="1"/>
    <col min="1294" max="1296" width="20.7109375" style="798" customWidth="1"/>
    <col min="1297" max="1297" width="32.28515625" style="798" bestFit="1" customWidth="1"/>
    <col min="1298" max="1298" width="20.7109375" style="798" customWidth="1"/>
    <col min="1299" max="1299" width="22" style="798" customWidth="1"/>
    <col min="1300" max="1303" width="21.28515625" style="798" customWidth="1"/>
    <col min="1304" max="1304" width="22.28515625" style="798" customWidth="1"/>
    <col min="1305" max="1306" width="11.42578125" style="798"/>
    <col min="1307" max="1307" width="14.85546875" style="798" bestFit="1" customWidth="1"/>
    <col min="1308" max="1532" width="11.42578125" style="798"/>
    <col min="1533" max="1533" width="34.42578125" style="798" customWidth="1"/>
    <col min="1534" max="1535" width="19.42578125" style="798" bestFit="1" customWidth="1"/>
    <col min="1536" max="1536" width="19.7109375" style="798" customWidth="1"/>
    <col min="1537" max="1538" width="20.42578125" style="798" customWidth="1"/>
    <col min="1539" max="1540" width="19.7109375" style="798" customWidth="1"/>
    <col min="1541" max="1541" width="25.28515625" style="798" customWidth="1"/>
    <col min="1542" max="1542" width="26" style="798" customWidth="1"/>
    <col min="1543" max="1543" width="22.28515625" style="798" customWidth="1"/>
    <col min="1544" max="1544" width="24.85546875" style="798" customWidth="1"/>
    <col min="1545" max="1545" width="21.140625" style="798" customWidth="1"/>
    <col min="1546" max="1546" width="21.42578125" style="798" customWidth="1"/>
    <col min="1547" max="1547" width="27.85546875" style="798" customWidth="1"/>
    <col min="1548" max="1548" width="23.42578125" style="798" customWidth="1"/>
    <col min="1549" max="1549" width="21.42578125" style="798" customWidth="1"/>
    <col min="1550" max="1552" width="20.7109375" style="798" customWidth="1"/>
    <col min="1553" max="1553" width="32.28515625" style="798" bestFit="1" customWidth="1"/>
    <col min="1554" max="1554" width="20.7109375" style="798" customWidth="1"/>
    <col min="1555" max="1555" width="22" style="798" customWidth="1"/>
    <col min="1556" max="1559" width="21.28515625" style="798" customWidth="1"/>
    <col min="1560" max="1560" width="22.28515625" style="798" customWidth="1"/>
    <col min="1561" max="1562" width="11.42578125" style="798"/>
    <col min="1563" max="1563" width="14.85546875" style="798" bestFit="1" customWidth="1"/>
    <col min="1564" max="1788" width="11.42578125" style="798"/>
    <col min="1789" max="1789" width="34.42578125" style="798" customWidth="1"/>
    <col min="1790" max="1791" width="19.42578125" style="798" bestFit="1" customWidth="1"/>
    <col min="1792" max="1792" width="19.7109375" style="798" customWidth="1"/>
    <col min="1793" max="1794" width="20.42578125" style="798" customWidth="1"/>
    <col min="1795" max="1796" width="19.7109375" style="798" customWidth="1"/>
    <col min="1797" max="1797" width="25.28515625" style="798" customWidth="1"/>
    <col min="1798" max="1798" width="26" style="798" customWidth="1"/>
    <col min="1799" max="1799" width="22.28515625" style="798" customWidth="1"/>
    <col min="1800" max="1800" width="24.85546875" style="798" customWidth="1"/>
    <col min="1801" max="1801" width="21.140625" style="798" customWidth="1"/>
    <col min="1802" max="1802" width="21.42578125" style="798" customWidth="1"/>
    <col min="1803" max="1803" width="27.85546875" style="798" customWidth="1"/>
    <col min="1804" max="1804" width="23.42578125" style="798" customWidth="1"/>
    <col min="1805" max="1805" width="21.42578125" style="798" customWidth="1"/>
    <col min="1806" max="1808" width="20.7109375" style="798" customWidth="1"/>
    <col min="1809" max="1809" width="32.28515625" style="798" bestFit="1" customWidth="1"/>
    <col min="1810" max="1810" width="20.7109375" style="798" customWidth="1"/>
    <col min="1811" max="1811" width="22" style="798" customWidth="1"/>
    <col min="1812" max="1815" width="21.28515625" style="798" customWidth="1"/>
    <col min="1816" max="1816" width="22.28515625" style="798" customWidth="1"/>
    <col min="1817" max="1818" width="11.42578125" style="798"/>
    <col min="1819" max="1819" width="14.85546875" style="798" bestFit="1" customWidth="1"/>
    <col min="1820" max="2044" width="11.42578125" style="798"/>
    <col min="2045" max="2045" width="34.42578125" style="798" customWidth="1"/>
    <col min="2046" max="2047" width="19.42578125" style="798" bestFit="1" customWidth="1"/>
    <col min="2048" max="2048" width="19.7109375" style="798" customWidth="1"/>
    <col min="2049" max="2050" width="20.42578125" style="798" customWidth="1"/>
    <col min="2051" max="2052" width="19.7109375" style="798" customWidth="1"/>
    <col min="2053" max="2053" width="25.28515625" style="798" customWidth="1"/>
    <col min="2054" max="2054" width="26" style="798" customWidth="1"/>
    <col min="2055" max="2055" width="22.28515625" style="798" customWidth="1"/>
    <col min="2056" max="2056" width="24.85546875" style="798" customWidth="1"/>
    <col min="2057" max="2057" width="21.140625" style="798" customWidth="1"/>
    <col min="2058" max="2058" width="21.42578125" style="798" customWidth="1"/>
    <col min="2059" max="2059" width="27.85546875" style="798" customWidth="1"/>
    <col min="2060" max="2060" width="23.42578125" style="798" customWidth="1"/>
    <col min="2061" max="2061" width="21.42578125" style="798" customWidth="1"/>
    <col min="2062" max="2064" width="20.7109375" style="798" customWidth="1"/>
    <col min="2065" max="2065" width="32.28515625" style="798" bestFit="1" customWidth="1"/>
    <col min="2066" max="2066" width="20.7109375" style="798" customWidth="1"/>
    <col min="2067" max="2067" width="22" style="798" customWidth="1"/>
    <col min="2068" max="2071" width="21.28515625" style="798" customWidth="1"/>
    <col min="2072" max="2072" width="22.28515625" style="798" customWidth="1"/>
    <col min="2073" max="2074" width="11.42578125" style="798"/>
    <col min="2075" max="2075" width="14.85546875" style="798" bestFit="1" customWidth="1"/>
    <col min="2076" max="2300" width="11.42578125" style="798"/>
    <col min="2301" max="2301" width="34.42578125" style="798" customWidth="1"/>
    <col min="2302" max="2303" width="19.42578125" style="798" bestFit="1" customWidth="1"/>
    <col min="2304" max="2304" width="19.7109375" style="798" customWidth="1"/>
    <col min="2305" max="2306" width="20.42578125" style="798" customWidth="1"/>
    <col min="2307" max="2308" width="19.7109375" style="798" customWidth="1"/>
    <col min="2309" max="2309" width="25.28515625" style="798" customWidth="1"/>
    <col min="2310" max="2310" width="26" style="798" customWidth="1"/>
    <col min="2311" max="2311" width="22.28515625" style="798" customWidth="1"/>
    <col min="2312" max="2312" width="24.85546875" style="798" customWidth="1"/>
    <col min="2313" max="2313" width="21.140625" style="798" customWidth="1"/>
    <col min="2314" max="2314" width="21.42578125" style="798" customWidth="1"/>
    <col min="2315" max="2315" width="27.85546875" style="798" customWidth="1"/>
    <col min="2316" max="2316" width="23.42578125" style="798" customWidth="1"/>
    <col min="2317" max="2317" width="21.42578125" style="798" customWidth="1"/>
    <col min="2318" max="2320" width="20.7109375" style="798" customWidth="1"/>
    <col min="2321" max="2321" width="32.28515625" style="798" bestFit="1" customWidth="1"/>
    <col min="2322" max="2322" width="20.7109375" style="798" customWidth="1"/>
    <col min="2323" max="2323" width="22" style="798" customWidth="1"/>
    <col min="2324" max="2327" width="21.28515625" style="798" customWidth="1"/>
    <col min="2328" max="2328" width="22.28515625" style="798" customWidth="1"/>
    <col min="2329" max="2330" width="11.42578125" style="798"/>
    <col min="2331" max="2331" width="14.85546875" style="798" bestFit="1" customWidth="1"/>
    <col min="2332" max="2556" width="11.42578125" style="798"/>
    <col min="2557" max="2557" width="34.42578125" style="798" customWidth="1"/>
    <col min="2558" max="2559" width="19.42578125" style="798" bestFit="1" customWidth="1"/>
    <col min="2560" max="2560" width="19.7109375" style="798" customWidth="1"/>
    <col min="2561" max="2562" width="20.42578125" style="798" customWidth="1"/>
    <col min="2563" max="2564" width="19.7109375" style="798" customWidth="1"/>
    <col min="2565" max="2565" width="25.28515625" style="798" customWidth="1"/>
    <col min="2566" max="2566" width="26" style="798" customWidth="1"/>
    <col min="2567" max="2567" width="22.28515625" style="798" customWidth="1"/>
    <col min="2568" max="2568" width="24.85546875" style="798" customWidth="1"/>
    <col min="2569" max="2569" width="21.140625" style="798" customWidth="1"/>
    <col min="2570" max="2570" width="21.42578125" style="798" customWidth="1"/>
    <col min="2571" max="2571" width="27.85546875" style="798" customWidth="1"/>
    <col min="2572" max="2572" width="23.42578125" style="798" customWidth="1"/>
    <col min="2573" max="2573" width="21.42578125" style="798" customWidth="1"/>
    <col min="2574" max="2576" width="20.7109375" style="798" customWidth="1"/>
    <col min="2577" max="2577" width="32.28515625" style="798" bestFit="1" customWidth="1"/>
    <col min="2578" max="2578" width="20.7109375" style="798" customWidth="1"/>
    <col min="2579" max="2579" width="22" style="798" customWidth="1"/>
    <col min="2580" max="2583" width="21.28515625" style="798" customWidth="1"/>
    <col min="2584" max="2584" width="22.28515625" style="798" customWidth="1"/>
    <col min="2585" max="2586" width="11.42578125" style="798"/>
    <col min="2587" max="2587" width="14.85546875" style="798" bestFit="1" customWidth="1"/>
    <col min="2588" max="2812" width="11.42578125" style="798"/>
    <col min="2813" max="2813" width="34.42578125" style="798" customWidth="1"/>
    <col min="2814" max="2815" width="19.42578125" style="798" bestFit="1" customWidth="1"/>
    <col min="2816" max="2816" width="19.7109375" style="798" customWidth="1"/>
    <col min="2817" max="2818" width="20.42578125" style="798" customWidth="1"/>
    <col min="2819" max="2820" width="19.7109375" style="798" customWidth="1"/>
    <col min="2821" max="2821" width="25.28515625" style="798" customWidth="1"/>
    <col min="2822" max="2822" width="26" style="798" customWidth="1"/>
    <col min="2823" max="2823" width="22.28515625" style="798" customWidth="1"/>
    <col min="2824" max="2824" width="24.85546875" style="798" customWidth="1"/>
    <col min="2825" max="2825" width="21.140625" style="798" customWidth="1"/>
    <col min="2826" max="2826" width="21.42578125" style="798" customWidth="1"/>
    <col min="2827" max="2827" width="27.85546875" style="798" customWidth="1"/>
    <col min="2828" max="2828" width="23.42578125" style="798" customWidth="1"/>
    <col min="2829" max="2829" width="21.42578125" style="798" customWidth="1"/>
    <col min="2830" max="2832" width="20.7109375" style="798" customWidth="1"/>
    <col min="2833" max="2833" width="32.28515625" style="798" bestFit="1" customWidth="1"/>
    <col min="2834" max="2834" width="20.7109375" style="798" customWidth="1"/>
    <col min="2835" max="2835" width="22" style="798" customWidth="1"/>
    <col min="2836" max="2839" width="21.28515625" style="798" customWidth="1"/>
    <col min="2840" max="2840" width="22.28515625" style="798" customWidth="1"/>
    <col min="2841" max="2842" width="11.42578125" style="798"/>
    <col min="2843" max="2843" width="14.85546875" style="798" bestFit="1" customWidth="1"/>
    <col min="2844" max="3068" width="11.42578125" style="798"/>
    <col min="3069" max="3069" width="34.42578125" style="798" customWidth="1"/>
    <col min="3070" max="3071" width="19.42578125" style="798" bestFit="1" customWidth="1"/>
    <col min="3072" max="3072" width="19.7109375" style="798" customWidth="1"/>
    <col min="3073" max="3074" width="20.42578125" style="798" customWidth="1"/>
    <col min="3075" max="3076" width="19.7109375" style="798" customWidth="1"/>
    <col min="3077" max="3077" width="25.28515625" style="798" customWidth="1"/>
    <col min="3078" max="3078" width="26" style="798" customWidth="1"/>
    <col min="3079" max="3079" width="22.28515625" style="798" customWidth="1"/>
    <col min="3080" max="3080" width="24.85546875" style="798" customWidth="1"/>
    <col min="3081" max="3081" width="21.140625" style="798" customWidth="1"/>
    <col min="3082" max="3082" width="21.42578125" style="798" customWidth="1"/>
    <col min="3083" max="3083" width="27.85546875" style="798" customWidth="1"/>
    <col min="3084" max="3084" width="23.42578125" style="798" customWidth="1"/>
    <col min="3085" max="3085" width="21.42578125" style="798" customWidth="1"/>
    <col min="3086" max="3088" width="20.7109375" style="798" customWidth="1"/>
    <col min="3089" max="3089" width="32.28515625" style="798" bestFit="1" customWidth="1"/>
    <col min="3090" max="3090" width="20.7109375" style="798" customWidth="1"/>
    <col min="3091" max="3091" width="22" style="798" customWidth="1"/>
    <col min="3092" max="3095" width="21.28515625" style="798" customWidth="1"/>
    <col min="3096" max="3096" width="22.28515625" style="798" customWidth="1"/>
    <col min="3097" max="3098" width="11.42578125" style="798"/>
    <col min="3099" max="3099" width="14.85546875" style="798" bestFit="1" customWidth="1"/>
    <col min="3100" max="3324" width="11.42578125" style="798"/>
    <col min="3325" max="3325" width="34.42578125" style="798" customWidth="1"/>
    <col min="3326" max="3327" width="19.42578125" style="798" bestFit="1" customWidth="1"/>
    <col min="3328" max="3328" width="19.7109375" style="798" customWidth="1"/>
    <col min="3329" max="3330" width="20.42578125" style="798" customWidth="1"/>
    <col min="3331" max="3332" width="19.7109375" style="798" customWidth="1"/>
    <col min="3333" max="3333" width="25.28515625" style="798" customWidth="1"/>
    <col min="3334" max="3334" width="26" style="798" customWidth="1"/>
    <col min="3335" max="3335" width="22.28515625" style="798" customWidth="1"/>
    <col min="3336" max="3336" width="24.85546875" style="798" customWidth="1"/>
    <col min="3337" max="3337" width="21.140625" style="798" customWidth="1"/>
    <col min="3338" max="3338" width="21.42578125" style="798" customWidth="1"/>
    <col min="3339" max="3339" width="27.85546875" style="798" customWidth="1"/>
    <col min="3340" max="3340" width="23.42578125" style="798" customWidth="1"/>
    <col min="3341" max="3341" width="21.42578125" style="798" customWidth="1"/>
    <col min="3342" max="3344" width="20.7109375" style="798" customWidth="1"/>
    <col min="3345" max="3345" width="32.28515625" style="798" bestFit="1" customWidth="1"/>
    <col min="3346" max="3346" width="20.7109375" style="798" customWidth="1"/>
    <col min="3347" max="3347" width="22" style="798" customWidth="1"/>
    <col min="3348" max="3351" width="21.28515625" style="798" customWidth="1"/>
    <col min="3352" max="3352" width="22.28515625" style="798" customWidth="1"/>
    <col min="3353" max="3354" width="11.42578125" style="798"/>
    <col min="3355" max="3355" width="14.85546875" style="798" bestFit="1" customWidth="1"/>
    <col min="3356" max="3580" width="11.42578125" style="798"/>
    <col min="3581" max="3581" width="34.42578125" style="798" customWidth="1"/>
    <col min="3582" max="3583" width="19.42578125" style="798" bestFit="1" customWidth="1"/>
    <col min="3584" max="3584" width="19.7109375" style="798" customWidth="1"/>
    <col min="3585" max="3586" width="20.42578125" style="798" customWidth="1"/>
    <col min="3587" max="3588" width="19.7109375" style="798" customWidth="1"/>
    <col min="3589" max="3589" width="25.28515625" style="798" customWidth="1"/>
    <col min="3590" max="3590" width="26" style="798" customWidth="1"/>
    <col min="3591" max="3591" width="22.28515625" style="798" customWidth="1"/>
    <col min="3592" max="3592" width="24.85546875" style="798" customWidth="1"/>
    <col min="3593" max="3593" width="21.140625" style="798" customWidth="1"/>
    <col min="3594" max="3594" width="21.42578125" style="798" customWidth="1"/>
    <col min="3595" max="3595" width="27.85546875" style="798" customWidth="1"/>
    <col min="3596" max="3596" width="23.42578125" style="798" customWidth="1"/>
    <col min="3597" max="3597" width="21.42578125" style="798" customWidth="1"/>
    <col min="3598" max="3600" width="20.7109375" style="798" customWidth="1"/>
    <col min="3601" max="3601" width="32.28515625" style="798" bestFit="1" customWidth="1"/>
    <col min="3602" max="3602" width="20.7109375" style="798" customWidth="1"/>
    <col min="3603" max="3603" width="22" style="798" customWidth="1"/>
    <col min="3604" max="3607" width="21.28515625" style="798" customWidth="1"/>
    <col min="3608" max="3608" width="22.28515625" style="798" customWidth="1"/>
    <col min="3609" max="3610" width="11.42578125" style="798"/>
    <col min="3611" max="3611" width="14.85546875" style="798" bestFit="1" customWidth="1"/>
    <col min="3612" max="3836" width="11.42578125" style="798"/>
    <col min="3837" max="3837" width="34.42578125" style="798" customWidth="1"/>
    <col min="3838" max="3839" width="19.42578125" style="798" bestFit="1" customWidth="1"/>
    <col min="3840" max="3840" width="19.7109375" style="798" customWidth="1"/>
    <col min="3841" max="3842" width="20.42578125" style="798" customWidth="1"/>
    <col min="3843" max="3844" width="19.7109375" style="798" customWidth="1"/>
    <col min="3845" max="3845" width="25.28515625" style="798" customWidth="1"/>
    <col min="3846" max="3846" width="26" style="798" customWidth="1"/>
    <col min="3847" max="3847" width="22.28515625" style="798" customWidth="1"/>
    <col min="3848" max="3848" width="24.85546875" style="798" customWidth="1"/>
    <col min="3849" max="3849" width="21.140625" style="798" customWidth="1"/>
    <col min="3850" max="3850" width="21.42578125" style="798" customWidth="1"/>
    <col min="3851" max="3851" width="27.85546875" style="798" customWidth="1"/>
    <col min="3852" max="3852" width="23.42578125" style="798" customWidth="1"/>
    <col min="3853" max="3853" width="21.42578125" style="798" customWidth="1"/>
    <col min="3854" max="3856" width="20.7109375" style="798" customWidth="1"/>
    <col min="3857" max="3857" width="32.28515625" style="798" bestFit="1" customWidth="1"/>
    <col min="3858" max="3858" width="20.7109375" style="798" customWidth="1"/>
    <col min="3859" max="3859" width="22" style="798" customWidth="1"/>
    <col min="3860" max="3863" width="21.28515625" style="798" customWidth="1"/>
    <col min="3864" max="3864" width="22.28515625" style="798" customWidth="1"/>
    <col min="3865" max="3866" width="11.42578125" style="798"/>
    <col min="3867" max="3867" width="14.85546875" style="798" bestFit="1" customWidth="1"/>
    <col min="3868" max="4092" width="11.42578125" style="798"/>
    <col min="4093" max="4093" width="34.42578125" style="798" customWidth="1"/>
    <col min="4094" max="4095" width="19.42578125" style="798" bestFit="1" customWidth="1"/>
    <col min="4096" max="4096" width="19.7109375" style="798" customWidth="1"/>
    <col min="4097" max="4098" width="20.42578125" style="798" customWidth="1"/>
    <col min="4099" max="4100" width="19.7109375" style="798" customWidth="1"/>
    <col min="4101" max="4101" width="25.28515625" style="798" customWidth="1"/>
    <col min="4102" max="4102" width="26" style="798" customWidth="1"/>
    <col min="4103" max="4103" width="22.28515625" style="798" customWidth="1"/>
    <col min="4104" max="4104" width="24.85546875" style="798" customWidth="1"/>
    <col min="4105" max="4105" width="21.140625" style="798" customWidth="1"/>
    <col min="4106" max="4106" width="21.42578125" style="798" customWidth="1"/>
    <col min="4107" max="4107" width="27.85546875" style="798" customWidth="1"/>
    <col min="4108" max="4108" width="23.42578125" style="798" customWidth="1"/>
    <col min="4109" max="4109" width="21.42578125" style="798" customWidth="1"/>
    <col min="4110" max="4112" width="20.7109375" style="798" customWidth="1"/>
    <col min="4113" max="4113" width="32.28515625" style="798" bestFit="1" customWidth="1"/>
    <col min="4114" max="4114" width="20.7109375" style="798" customWidth="1"/>
    <col min="4115" max="4115" width="22" style="798" customWidth="1"/>
    <col min="4116" max="4119" width="21.28515625" style="798" customWidth="1"/>
    <col min="4120" max="4120" width="22.28515625" style="798" customWidth="1"/>
    <col min="4121" max="4122" width="11.42578125" style="798"/>
    <col min="4123" max="4123" width="14.85546875" style="798" bestFit="1" customWidth="1"/>
    <col min="4124" max="4348" width="11.42578125" style="798"/>
    <col min="4349" max="4349" width="34.42578125" style="798" customWidth="1"/>
    <col min="4350" max="4351" width="19.42578125" style="798" bestFit="1" customWidth="1"/>
    <col min="4352" max="4352" width="19.7109375" style="798" customWidth="1"/>
    <col min="4353" max="4354" width="20.42578125" style="798" customWidth="1"/>
    <col min="4355" max="4356" width="19.7109375" style="798" customWidth="1"/>
    <col min="4357" max="4357" width="25.28515625" style="798" customWidth="1"/>
    <col min="4358" max="4358" width="26" style="798" customWidth="1"/>
    <col min="4359" max="4359" width="22.28515625" style="798" customWidth="1"/>
    <col min="4360" max="4360" width="24.85546875" style="798" customWidth="1"/>
    <col min="4361" max="4361" width="21.140625" style="798" customWidth="1"/>
    <col min="4362" max="4362" width="21.42578125" style="798" customWidth="1"/>
    <col min="4363" max="4363" width="27.85546875" style="798" customWidth="1"/>
    <col min="4364" max="4364" width="23.42578125" style="798" customWidth="1"/>
    <col min="4365" max="4365" width="21.42578125" style="798" customWidth="1"/>
    <col min="4366" max="4368" width="20.7109375" style="798" customWidth="1"/>
    <col min="4369" max="4369" width="32.28515625" style="798" bestFit="1" customWidth="1"/>
    <col min="4370" max="4370" width="20.7109375" style="798" customWidth="1"/>
    <col min="4371" max="4371" width="22" style="798" customWidth="1"/>
    <col min="4372" max="4375" width="21.28515625" style="798" customWidth="1"/>
    <col min="4376" max="4376" width="22.28515625" style="798" customWidth="1"/>
    <col min="4377" max="4378" width="11.42578125" style="798"/>
    <col min="4379" max="4379" width="14.85546875" style="798" bestFit="1" customWidth="1"/>
    <col min="4380" max="4604" width="11.42578125" style="798"/>
    <col min="4605" max="4605" width="34.42578125" style="798" customWidth="1"/>
    <col min="4606" max="4607" width="19.42578125" style="798" bestFit="1" customWidth="1"/>
    <col min="4608" max="4608" width="19.7109375" style="798" customWidth="1"/>
    <col min="4609" max="4610" width="20.42578125" style="798" customWidth="1"/>
    <col min="4611" max="4612" width="19.7109375" style="798" customWidth="1"/>
    <col min="4613" max="4613" width="25.28515625" style="798" customWidth="1"/>
    <col min="4614" max="4614" width="26" style="798" customWidth="1"/>
    <col min="4615" max="4615" width="22.28515625" style="798" customWidth="1"/>
    <col min="4616" max="4616" width="24.85546875" style="798" customWidth="1"/>
    <col min="4617" max="4617" width="21.140625" style="798" customWidth="1"/>
    <col min="4618" max="4618" width="21.42578125" style="798" customWidth="1"/>
    <col min="4619" max="4619" width="27.85546875" style="798" customWidth="1"/>
    <col min="4620" max="4620" width="23.42578125" style="798" customWidth="1"/>
    <col min="4621" max="4621" width="21.42578125" style="798" customWidth="1"/>
    <col min="4622" max="4624" width="20.7109375" style="798" customWidth="1"/>
    <col min="4625" max="4625" width="32.28515625" style="798" bestFit="1" customWidth="1"/>
    <col min="4626" max="4626" width="20.7109375" style="798" customWidth="1"/>
    <col min="4627" max="4627" width="22" style="798" customWidth="1"/>
    <col min="4628" max="4631" width="21.28515625" style="798" customWidth="1"/>
    <col min="4632" max="4632" width="22.28515625" style="798" customWidth="1"/>
    <col min="4633" max="4634" width="11.42578125" style="798"/>
    <col min="4635" max="4635" width="14.85546875" style="798" bestFit="1" customWidth="1"/>
    <col min="4636" max="4860" width="11.42578125" style="798"/>
    <col min="4861" max="4861" width="34.42578125" style="798" customWidth="1"/>
    <col min="4862" max="4863" width="19.42578125" style="798" bestFit="1" customWidth="1"/>
    <col min="4864" max="4864" width="19.7109375" style="798" customWidth="1"/>
    <col min="4865" max="4866" width="20.42578125" style="798" customWidth="1"/>
    <col min="4867" max="4868" width="19.7109375" style="798" customWidth="1"/>
    <col min="4869" max="4869" width="25.28515625" style="798" customWidth="1"/>
    <col min="4870" max="4870" width="26" style="798" customWidth="1"/>
    <col min="4871" max="4871" width="22.28515625" style="798" customWidth="1"/>
    <col min="4872" max="4872" width="24.85546875" style="798" customWidth="1"/>
    <col min="4873" max="4873" width="21.140625" style="798" customWidth="1"/>
    <col min="4874" max="4874" width="21.42578125" style="798" customWidth="1"/>
    <col min="4875" max="4875" width="27.85546875" style="798" customWidth="1"/>
    <col min="4876" max="4876" width="23.42578125" style="798" customWidth="1"/>
    <col min="4877" max="4877" width="21.42578125" style="798" customWidth="1"/>
    <col min="4878" max="4880" width="20.7109375" style="798" customWidth="1"/>
    <col min="4881" max="4881" width="32.28515625" style="798" bestFit="1" customWidth="1"/>
    <col min="4882" max="4882" width="20.7109375" style="798" customWidth="1"/>
    <col min="4883" max="4883" width="22" style="798" customWidth="1"/>
    <col min="4884" max="4887" width="21.28515625" style="798" customWidth="1"/>
    <col min="4888" max="4888" width="22.28515625" style="798" customWidth="1"/>
    <col min="4889" max="4890" width="11.42578125" style="798"/>
    <col min="4891" max="4891" width="14.85546875" style="798" bestFit="1" customWidth="1"/>
    <col min="4892" max="5116" width="11.42578125" style="798"/>
    <col min="5117" max="5117" width="34.42578125" style="798" customWidth="1"/>
    <col min="5118" max="5119" width="19.42578125" style="798" bestFit="1" customWidth="1"/>
    <col min="5120" max="5120" width="19.7109375" style="798" customWidth="1"/>
    <col min="5121" max="5122" width="20.42578125" style="798" customWidth="1"/>
    <col min="5123" max="5124" width="19.7109375" style="798" customWidth="1"/>
    <col min="5125" max="5125" width="25.28515625" style="798" customWidth="1"/>
    <col min="5126" max="5126" width="26" style="798" customWidth="1"/>
    <col min="5127" max="5127" width="22.28515625" style="798" customWidth="1"/>
    <col min="5128" max="5128" width="24.85546875" style="798" customWidth="1"/>
    <col min="5129" max="5129" width="21.140625" style="798" customWidth="1"/>
    <col min="5130" max="5130" width="21.42578125" style="798" customWidth="1"/>
    <col min="5131" max="5131" width="27.85546875" style="798" customWidth="1"/>
    <col min="5132" max="5132" width="23.42578125" style="798" customWidth="1"/>
    <col min="5133" max="5133" width="21.42578125" style="798" customWidth="1"/>
    <col min="5134" max="5136" width="20.7109375" style="798" customWidth="1"/>
    <col min="5137" max="5137" width="32.28515625" style="798" bestFit="1" customWidth="1"/>
    <col min="5138" max="5138" width="20.7109375" style="798" customWidth="1"/>
    <col min="5139" max="5139" width="22" style="798" customWidth="1"/>
    <col min="5140" max="5143" width="21.28515625" style="798" customWidth="1"/>
    <col min="5144" max="5144" width="22.28515625" style="798" customWidth="1"/>
    <col min="5145" max="5146" width="11.42578125" style="798"/>
    <col min="5147" max="5147" width="14.85546875" style="798" bestFit="1" customWidth="1"/>
    <col min="5148" max="5372" width="11.42578125" style="798"/>
    <col min="5373" max="5373" width="34.42578125" style="798" customWidth="1"/>
    <col min="5374" max="5375" width="19.42578125" style="798" bestFit="1" customWidth="1"/>
    <col min="5376" max="5376" width="19.7109375" style="798" customWidth="1"/>
    <col min="5377" max="5378" width="20.42578125" style="798" customWidth="1"/>
    <col min="5379" max="5380" width="19.7109375" style="798" customWidth="1"/>
    <col min="5381" max="5381" width="25.28515625" style="798" customWidth="1"/>
    <col min="5382" max="5382" width="26" style="798" customWidth="1"/>
    <col min="5383" max="5383" width="22.28515625" style="798" customWidth="1"/>
    <col min="5384" max="5384" width="24.85546875" style="798" customWidth="1"/>
    <col min="5385" max="5385" width="21.140625" style="798" customWidth="1"/>
    <col min="5386" max="5386" width="21.42578125" style="798" customWidth="1"/>
    <col min="5387" max="5387" width="27.85546875" style="798" customWidth="1"/>
    <col min="5388" max="5388" width="23.42578125" style="798" customWidth="1"/>
    <col min="5389" max="5389" width="21.42578125" style="798" customWidth="1"/>
    <col min="5390" max="5392" width="20.7109375" style="798" customWidth="1"/>
    <col min="5393" max="5393" width="32.28515625" style="798" bestFit="1" customWidth="1"/>
    <col min="5394" max="5394" width="20.7109375" style="798" customWidth="1"/>
    <col min="5395" max="5395" width="22" style="798" customWidth="1"/>
    <col min="5396" max="5399" width="21.28515625" style="798" customWidth="1"/>
    <col min="5400" max="5400" width="22.28515625" style="798" customWidth="1"/>
    <col min="5401" max="5402" width="11.42578125" style="798"/>
    <col min="5403" max="5403" width="14.85546875" style="798" bestFit="1" customWidth="1"/>
    <col min="5404" max="5628" width="11.42578125" style="798"/>
    <col min="5629" max="5629" width="34.42578125" style="798" customWidth="1"/>
    <col min="5630" max="5631" width="19.42578125" style="798" bestFit="1" customWidth="1"/>
    <col min="5632" max="5632" width="19.7109375" style="798" customWidth="1"/>
    <col min="5633" max="5634" width="20.42578125" style="798" customWidth="1"/>
    <col min="5635" max="5636" width="19.7109375" style="798" customWidth="1"/>
    <col min="5637" max="5637" width="25.28515625" style="798" customWidth="1"/>
    <col min="5638" max="5638" width="26" style="798" customWidth="1"/>
    <col min="5639" max="5639" width="22.28515625" style="798" customWidth="1"/>
    <col min="5640" max="5640" width="24.85546875" style="798" customWidth="1"/>
    <col min="5641" max="5641" width="21.140625" style="798" customWidth="1"/>
    <col min="5642" max="5642" width="21.42578125" style="798" customWidth="1"/>
    <col min="5643" max="5643" width="27.85546875" style="798" customWidth="1"/>
    <col min="5644" max="5644" width="23.42578125" style="798" customWidth="1"/>
    <col min="5645" max="5645" width="21.42578125" style="798" customWidth="1"/>
    <col min="5646" max="5648" width="20.7109375" style="798" customWidth="1"/>
    <col min="5649" max="5649" width="32.28515625" style="798" bestFit="1" customWidth="1"/>
    <col min="5650" max="5650" width="20.7109375" style="798" customWidth="1"/>
    <col min="5651" max="5651" width="22" style="798" customWidth="1"/>
    <col min="5652" max="5655" width="21.28515625" style="798" customWidth="1"/>
    <col min="5656" max="5656" width="22.28515625" style="798" customWidth="1"/>
    <col min="5657" max="5658" width="11.42578125" style="798"/>
    <col min="5659" max="5659" width="14.85546875" style="798" bestFit="1" customWidth="1"/>
    <col min="5660" max="5884" width="11.42578125" style="798"/>
    <col min="5885" max="5885" width="34.42578125" style="798" customWidth="1"/>
    <col min="5886" max="5887" width="19.42578125" style="798" bestFit="1" customWidth="1"/>
    <col min="5888" max="5888" width="19.7109375" style="798" customWidth="1"/>
    <col min="5889" max="5890" width="20.42578125" style="798" customWidth="1"/>
    <col min="5891" max="5892" width="19.7109375" style="798" customWidth="1"/>
    <col min="5893" max="5893" width="25.28515625" style="798" customWidth="1"/>
    <col min="5894" max="5894" width="26" style="798" customWidth="1"/>
    <col min="5895" max="5895" width="22.28515625" style="798" customWidth="1"/>
    <col min="5896" max="5896" width="24.85546875" style="798" customWidth="1"/>
    <col min="5897" max="5897" width="21.140625" style="798" customWidth="1"/>
    <col min="5898" max="5898" width="21.42578125" style="798" customWidth="1"/>
    <col min="5899" max="5899" width="27.85546875" style="798" customWidth="1"/>
    <col min="5900" max="5900" width="23.42578125" style="798" customWidth="1"/>
    <col min="5901" max="5901" width="21.42578125" style="798" customWidth="1"/>
    <col min="5902" max="5904" width="20.7109375" style="798" customWidth="1"/>
    <col min="5905" max="5905" width="32.28515625" style="798" bestFit="1" customWidth="1"/>
    <col min="5906" max="5906" width="20.7109375" style="798" customWidth="1"/>
    <col min="5907" max="5907" width="22" style="798" customWidth="1"/>
    <col min="5908" max="5911" width="21.28515625" style="798" customWidth="1"/>
    <col min="5912" max="5912" width="22.28515625" style="798" customWidth="1"/>
    <col min="5913" max="5914" width="11.42578125" style="798"/>
    <col min="5915" max="5915" width="14.85546875" style="798" bestFit="1" customWidth="1"/>
    <col min="5916" max="6140" width="11.42578125" style="798"/>
    <col min="6141" max="6141" width="34.42578125" style="798" customWidth="1"/>
    <col min="6142" max="6143" width="19.42578125" style="798" bestFit="1" customWidth="1"/>
    <col min="6144" max="6144" width="19.7109375" style="798" customWidth="1"/>
    <col min="6145" max="6146" width="20.42578125" style="798" customWidth="1"/>
    <col min="6147" max="6148" width="19.7109375" style="798" customWidth="1"/>
    <col min="6149" max="6149" width="25.28515625" style="798" customWidth="1"/>
    <col min="6150" max="6150" width="26" style="798" customWidth="1"/>
    <col min="6151" max="6151" width="22.28515625" style="798" customWidth="1"/>
    <col min="6152" max="6152" width="24.85546875" style="798" customWidth="1"/>
    <col min="6153" max="6153" width="21.140625" style="798" customWidth="1"/>
    <col min="6154" max="6154" width="21.42578125" style="798" customWidth="1"/>
    <col min="6155" max="6155" width="27.85546875" style="798" customWidth="1"/>
    <col min="6156" max="6156" width="23.42578125" style="798" customWidth="1"/>
    <col min="6157" max="6157" width="21.42578125" style="798" customWidth="1"/>
    <col min="6158" max="6160" width="20.7109375" style="798" customWidth="1"/>
    <col min="6161" max="6161" width="32.28515625" style="798" bestFit="1" customWidth="1"/>
    <col min="6162" max="6162" width="20.7109375" style="798" customWidth="1"/>
    <col min="6163" max="6163" width="22" style="798" customWidth="1"/>
    <col min="6164" max="6167" width="21.28515625" style="798" customWidth="1"/>
    <col min="6168" max="6168" width="22.28515625" style="798" customWidth="1"/>
    <col min="6169" max="6170" width="11.42578125" style="798"/>
    <col min="6171" max="6171" width="14.85546875" style="798" bestFit="1" customWidth="1"/>
    <col min="6172" max="6396" width="11.42578125" style="798"/>
    <col min="6397" max="6397" width="34.42578125" style="798" customWidth="1"/>
    <col min="6398" max="6399" width="19.42578125" style="798" bestFit="1" customWidth="1"/>
    <col min="6400" max="6400" width="19.7109375" style="798" customWidth="1"/>
    <col min="6401" max="6402" width="20.42578125" style="798" customWidth="1"/>
    <col min="6403" max="6404" width="19.7109375" style="798" customWidth="1"/>
    <col min="6405" max="6405" width="25.28515625" style="798" customWidth="1"/>
    <col min="6406" max="6406" width="26" style="798" customWidth="1"/>
    <col min="6407" max="6407" width="22.28515625" style="798" customWidth="1"/>
    <col min="6408" max="6408" width="24.85546875" style="798" customWidth="1"/>
    <col min="6409" max="6409" width="21.140625" style="798" customWidth="1"/>
    <col min="6410" max="6410" width="21.42578125" style="798" customWidth="1"/>
    <col min="6411" max="6411" width="27.85546875" style="798" customWidth="1"/>
    <col min="6412" max="6412" width="23.42578125" style="798" customWidth="1"/>
    <col min="6413" max="6413" width="21.42578125" style="798" customWidth="1"/>
    <col min="6414" max="6416" width="20.7109375" style="798" customWidth="1"/>
    <col min="6417" max="6417" width="32.28515625" style="798" bestFit="1" customWidth="1"/>
    <col min="6418" max="6418" width="20.7109375" style="798" customWidth="1"/>
    <col min="6419" max="6419" width="22" style="798" customWidth="1"/>
    <col min="6420" max="6423" width="21.28515625" style="798" customWidth="1"/>
    <col min="6424" max="6424" width="22.28515625" style="798" customWidth="1"/>
    <col min="6425" max="6426" width="11.42578125" style="798"/>
    <col min="6427" max="6427" width="14.85546875" style="798" bestFit="1" customWidth="1"/>
    <col min="6428" max="6652" width="11.42578125" style="798"/>
    <col min="6653" max="6653" width="34.42578125" style="798" customWidth="1"/>
    <col min="6654" max="6655" width="19.42578125" style="798" bestFit="1" customWidth="1"/>
    <col min="6656" max="6656" width="19.7109375" style="798" customWidth="1"/>
    <col min="6657" max="6658" width="20.42578125" style="798" customWidth="1"/>
    <col min="6659" max="6660" width="19.7109375" style="798" customWidth="1"/>
    <col min="6661" max="6661" width="25.28515625" style="798" customWidth="1"/>
    <col min="6662" max="6662" width="26" style="798" customWidth="1"/>
    <col min="6663" max="6663" width="22.28515625" style="798" customWidth="1"/>
    <col min="6664" max="6664" width="24.85546875" style="798" customWidth="1"/>
    <col min="6665" max="6665" width="21.140625" style="798" customWidth="1"/>
    <col min="6666" max="6666" width="21.42578125" style="798" customWidth="1"/>
    <col min="6667" max="6667" width="27.85546875" style="798" customWidth="1"/>
    <col min="6668" max="6668" width="23.42578125" style="798" customWidth="1"/>
    <col min="6669" max="6669" width="21.42578125" style="798" customWidth="1"/>
    <col min="6670" max="6672" width="20.7109375" style="798" customWidth="1"/>
    <col min="6673" max="6673" width="32.28515625" style="798" bestFit="1" customWidth="1"/>
    <col min="6674" max="6674" width="20.7109375" style="798" customWidth="1"/>
    <col min="6675" max="6675" width="22" style="798" customWidth="1"/>
    <col min="6676" max="6679" width="21.28515625" style="798" customWidth="1"/>
    <col min="6680" max="6680" width="22.28515625" style="798" customWidth="1"/>
    <col min="6681" max="6682" width="11.42578125" style="798"/>
    <col min="6683" max="6683" width="14.85546875" style="798" bestFit="1" customWidth="1"/>
    <col min="6684" max="6908" width="11.42578125" style="798"/>
    <col min="6909" max="6909" width="34.42578125" style="798" customWidth="1"/>
    <col min="6910" max="6911" width="19.42578125" style="798" bestFit="1" customWidth="1"/>
    <col min="6912" max="6912" width="19.7109375" style="798" customWidth="1"/>
    <col min="6913" max="6914" width="20.42578125" style="798" customWidth="1"/>
    <col min="6915" max="6916" width="19.7109375" style="798" customWidth="1"/>
    <col min="6917" max="6917" width="25.28515625" style="798" customWidth="1"/>
    <col min="6918" max="6918" width="26" style="798" customWidth="1"/>
    <col min="6919" max="6919" width="22.28515625" style="798" customWidth="1"/>
    <col min="6920" max="6920" width="24.85546875" style="798" customWidth="1"/>
    <col min="6921" max="6921" width="21.140625" style="798" customWidth="1"/>
    <col min="6922" max="6922" width="21.42578125" style="798" customWidth="1"/>
    <col min="6923" max="6923" width="27.85546875" style="798" customWidth="1"/>
    <col min="6924" max="6924" width="23.42578125" style="798" customWidth="1"/>
    <col min="6925" max="6925" width="21.42578125" style="798" customWidth="1"/>
    <col min="6926" max="6928" width="20.7109375" style="798" customWidth="1"/>
    <col min="6929" max="6929" width="32.28515625" style="798" bestFit="1" customWidth="1"/>
    <col min="6930" max="6930" width="20.7109375" style="798" customWidth="1"/>
    <col min="6931" max="6931" width="22" style="798" customWidth="1"/>
    <col min="6932" max="6935" width="21.28515625" style="798" customWidth="1"/>
    <col min="6936" max="6936" width="22.28515625" style="798" customWidth="1"/>
    <col min="6937" max="6938" width="11.42578125" style="798"/>
    <col min="6939" max="6939" width="14.85546875" style="798" bestFit="1" customWidth="1"/>
    <col min="6940" max="7164" width="11.42578125" style="798"/>
    <col min="7165" max="7165" width="34.42578125" style="798" customWidth="1"/>
    <col min="7166" max="7167" width="19.42578125" style="798" bestFit="1" customWidth="1"/>
    <col min="7168" max="7168" width="19.7109375" style="798" customWidth="1"/>
    <col min="7169" max="7170" width="20.42578125" style="798" customWidth="1"/>
    <col min="7171" max="7172" width="19.7109375" style="798" customWidth="1"/>
    <col min="7173" max="7173" width="25.28515625" style="798" customWidth="1"/>
    <col min="7174" max="7174" width="26" style="798" customWidth="1"/>
    <col min="7175" max="7175" width="22.28515625" style="798" customWidth="1"/>
    <col min="7176" max="7176" width="24.85546875" style="798" customWidth="1"/>
    <col min="7177" max="7177" width="21.140625" style="798" customWidth="1"/>
    <col min="7178" max="7178" width="21.42578125" style="798" customWidth="1"/>
    <col min="7179" max="7179" width="27.85546875" style="798" customWidth="1"/>
    <col min="7180" max="7180" width="23.42578125" style="798" customWidth="1"/>
    <col min="7181" max="7181" width="21.42578125" style="798" customWidth="1"/>
    <col min="7182" max="7184" width="20.7109375" style="798" customWidth="1"/>
    <col min="7185" max="7185" width="32.28515625" style="798" bestFit="1" customWidth="1"/>
    <col min="7186" max="7186" width="20.7109375" style="798" customWidth="1"/>
    <col min="7187" max="7187" width="22" style="798" customWidth="1"/>
    <col min="7188" max="7191" width="21.28515625" style="798" customWidth="1"/>
    <col min="7192" max="7192" width="22.28515625" style="798" customWidth="1"/>
    <col min="7193" max="7194" width="11.42578125" style="798"/>
    <col min="7195" max="7195" width="14.85546875" style="798" bestFit="1" customWidth="1"/>
    <col min="7196" max="7420" width="11.42578125" style="798"/>
    <col min="7421" max="7421" width="34.42578125" style="798" customWidth="1"/>
    <col min="7422" max="7423" width="19.42578125" style="798" bestFit="1" customWidth="1"/>
    <col min="7424" max="7424" width="19.7109375" style="798" customWidth="1"/>
    <col min="7425" max="7426" width="20.42578125" style="798" customWidth="1"/>
    <col min="7427" max="7428" width="19.7109375" style="798" customWidth="1"/>
    <col min="7429" max="7429" width="25.28515625" style="798" customWidth="1"/>
    <col min="7430" max="7430" width="26" style="798" customWidth="1"/>
    <col min="7431" max="7431" width="22.28515625" style="798" customWidth="1"/>
    <col min="7432" max="7432" width="24.85546875" style="798" customWidth="1"/>
    <col min="7433" max="7433" width="21.140625" style="798" customWidth="1"/>
    <col min="7434" max="7434" width="21.42578125" style="798" customWidth="1"/>
    <col min="7435" max="7435" width="27.85546875" style="798" customWidth="1"/>
    <col min="7436" max="7436" width="23.42578125" style="798" customWidth="1"/>
    <col min="7437" max="7437" width="21.42578125" style="798" customWidth="1"/>
    <col min="7438" max="7440" width="20.7109375" style="798" customWidth="1"/>
    <col min="7441" max="7441" width="32.28515625" style="798" bestFit="1" customWidth="1"/>
    <col min="7442" max="7442" width="20.7109375" style="798" customWidth="1"/>
    <col min="7443" max="7443" width="22" style="798" customWidth="1"/>
    <col min="7444" max="7447" width="21.28515625" style="798" customWidth="1"/>
    <col min="7448" max="7448" width="22.28515625" style="798" customWidth="1"/>
    <col min="7449" max="7450" width="11.42578125" style="798"/>
    <col min="7451" max="7451" width="14.85546875" style="798" bestFit="1" customWidth="1"/>
    <col min="7452" max="7676" width="11.42578125" style="798"/>
    <col min="7677" max="7677" width="34.42578125" style="798" customWidth="1"/>
    <col min="7678" max="7679" width="19.42578125" style="798" bestFit="1" customWidth="1"/>
    <col min="7680" max="7680" width="19.7109375" style="798" customWidth="1"/>
    <col min="7681" max="7682" width="20.42578125" style="798" customWidth="1"/>
    <col min="7683" max="7684" width="19.7109375" style="798" customWidth="1"/>
    <col min="7685" max="7685" width="25.28515625" style="798" customWidth="1"/>
    <col min="7686" max="7686" width="26" style="798" customWidth="1"/>
    <col min="7687" max="7687" width="22.28515625" style="798" customWidth="1"/>
    <col min="7688" max="7688" width="24.85546875" style="798" customWidth="1"/>
    <col min="7689" max="7689" width="21.140625" style="798" customWidth="1"/>
    <col min="7690" max="7690" width="21.42578125" style="798" customWidth="1"/>
    <col min="7691" max="7691" width="27.85546875" style="798" customWidth="1"/>
    <col min="7692" max="7692" width="23.42578125" style="798" customWidth="1"/>
    <col min="7693" max="7693" width="21.42578125" style="798" customWidth="1"/>
    <col min="7694" max="7696" width="20.7109375" style="798" customWidth="1"/>
    <col min="7697" max="7697" width="32.28515625" style="798" bestFit="1" customWidth="1"/>
    <col min="7698" max="7698" width="20.7109375" style="798" customWidth="1"/>
    <col min="7699" max="7699" width="22" style="798" customWidth="1"/>
    <col min="7700" max="7703" width="21.28515625" style="798" customWidth="1"/>
    <col min="7704" max="7704" width="22.28515625" style="798" customWidth="1"/>
    <col min="7705" max="7706" width="11.42578125" style="798"/>
    <col min="7707" max="7707" width="14.85546875" style="798" bestFit="1" customWidth="1"/>
    <col min="7708" max="7932" width="11.42578125" style="798"/>
    <col min="7933" max="7933" width="34.42578125" style="798" customWidth="1"/>
    <col min="7934" max="7935" width="19.42578125" style="798" bestFit="1" customWidth="1"/>
    <col min="7936" max="7936" width="19.7109375" style="798" customWidth="1"/>
    <col min="7937" max="7938" width="20.42578125" style="798" customWidth="1"/>
    <col min="7939" max="7940" width="19.7109375" style="798" customWidth="1"/>
    <col min="7941" max="7941" width="25.28515625" style="798" customWidth="1"/>
    <col min="7942" max="7942" width="26" style="798" customWidth="1"/>
    <col min="7943" max="7943" width="22.28515625" style="798" customWidth="1"/>
    <col min="7944" max="7944" width="24.85546875" style="798" customWidth="1"/>
    <col min="7945" max="7945" width="21.140625" style="798" customWidth="1"/>
    <col min="7946" max="7946" width="21.42578125" style="798" customWidth="1"/>
    <col min="7947" max="7947" width="27.85546875" style="798" customWidth="1"/>
    <col min="7948" max="7948" width="23.42578125" style="798" customWidth="1"/>
    <col min="7949" max="7949" width="21.42578125" style="798" customWidth="1"/>
    <col min="7950" max="7952" width="20.7109375" style="798" customWidth="1"/>
    <col min="7953" max="7953" width="32.28515625" style="798" bestFit="1" customWidth="1"/>
    <col min="7954" max="7954" width="20.7109375" style="798" customWidth="1"/>
    <col min="7955" max="7955" width="22" style="798" customWidth="1"/>
    <col min="7956" max="7959" width="21.28515625" style="798" customWidth="1"/>
    <col min="7960" max="7960" width="22.28515625" style="798" customWidth="1"/>
    <col min="7961" max="7962" width="11.42578125" style="798"/>
    <col min="7963" max="7963" width="14.85546875" style="798" bestFit="1" customWidth="1"/>
    <col min="7964" max="8188" width="11.42578125" style="798"/>
    <col min="8189" max="8189" width="34.42578125" style="798" customWidth="1"/>
    <col min="8190" max="8191" width="19.42578125" style="798" bestFit="1" customWidth="1"/>
    <col min="8192" max="8192" width="19.7109375" style="798" customWidth="1"/>
    <col min="8193" max="8194" width="20.42578125" style="798" customWidth="1"/>
    <col min="8195" max="8196" width="19.7109375" style="798" customWidth="1"/>
    <col min="8197" max="8197" width="25.28515625" style="798" customWidth="1"/>
    <col min="8198" max="8198" width="26" style="798" customWidth="1"/>
    <col min="8199" max="8199" width="22.28515625" style="798" customWidth="1"/>
    <col min="8200" max="8200" width="24.85546875" style="798" customWidth="1"/>
    <col min="8201" max="8201" width="21.140625" style="798" customWidth="1"/>
    <col min="8202" max="8202" width="21.42578125" style="798" customWidth="1"/>
    <col min="8203" max="8203" width="27.85546875" style="798" customWidth="1"/>
    <col min="8204" max="8204" width="23.42578125" style="798" customWidth="1"/>
    <col min="8205" max="8205" width="21.42578125" style="798" customWidth="1"/>
    <col min="8206" max="8208" width="20.7109375" style="798" customWidth="1"/>
    <col min="8209" max="8209" width="32.28515625" style="798" bestFit="1" customWidth="1"/>
    <col min="8210" max="8210" width="20.7109375" style="798" customWidth="1"/>
    <col min="8211" max="8211" width="22" style="798" customWidth="1"/>
    <col min="8212" max="8215" width="21.28515625" style="798" customWidth="1"/>
    <col min="8216" max="8216" width="22.28515625" style="798" customWidth="1"/>
    <col min="8217" max="8218" width="11.42578125" style="798"/>
    <col min="8219" max="8219" width="14.85546875" style="798" bestFit="1" customWidth="1"/>
    <col min="8220" max="8444" width="11.42578125" style="798"/>
    <col min="8445" max="8445" width="34.42578125" style="798" customWidth="1"/>
    <col min="8446" max="8447" width="19.42578125" style="798" bestFit="1" customWidth="1"/>
    <col min="8448" max="8448" width="19.7109375" style="798" customWidth="1"/>
    <col min="8449" max="8450" width="20.42578125" style="798" customWidth="1"/>
    <col min="8451" max="8452" width="19.7109375" style="798" customWidth="1"/>
    <col min="8453" max="8453" width="25.28515625" style="798" customWidth="1"/>
    <col min="8454" max="8454" width="26" style="798" customWidth="1"/>
    <col min="8455" max="8455" width="22.28515625" style="798" customWidth="1"/>
    <col min="8456" max="8456" width="24.85546875" style="798" customWidth="1"/>
    <col min="8457" max="8457" width="21.140625" style="798" customWidth="1"/>
    <col min="8458" max="8458" width="21.42578125" style="798" customWidth="1"/>
    <col min="8459" max="8459" width="27.85546875" style="798" customWidth="1"/>
    <col min="8460" max="8460" width="23.42578125" style="798" customWidth="1"/>
    <col min="8461" max="8461" width="21.42578125" style="798" customWidth="1"/>
    <col min="8462" max="8464" width="20.7109375" style="798" customWidth="1"/>
    <col min="8465" max="8465" width="32.28515625" style="798" bestFit="1" customWidth="1"/>
    <col min="8466" max="8466" width="20.7109375" style="798" customWidth="1"/>
    <col min="8467" max="8467" width="22" style="798" customWidth="1"/>
    <col min="8468" max="8471" width="21.28515625" style="798" customWidth="1"/>
    <col min="8472" max="8472" width="22.28515625" style="798" customWidth="1"/>
    <col min="8473" max="8474" width="11.42578125" style="798"/>
    <col min="8475" max="8475" width="14.85546875" style="798" bestFit="1" customWidth="1"/>
    <col min="8476" max="8700" width="11.42578125" style="798"/>
    <col min="8701" max="8701" width="34.42578125" style="798" customWidth="1"/>
    <col min="8702" max="8703" width="19.42578125" style="798" bestFit="1" customWidth="1"/>
    <col min="8704" max="8704" width="19.7109375" style="798" customWidth="1"/>
    <col min="8705" max="8706" width="20.42578125" style="798" customWidth="1"/>
    <col min="8707" max="8708" width="19.7109375" style="798" customWidth="1"/>
    <col min="8709" max="8709" width="25.28515625" style="798" customWidth="1"/>
    <col min="8710" max="8710" width="26" style="798" customWidth="1"/>
    <col min="8711" max="8711" width="22.28515625" style="798" customWidth="1"/>
    <col min="8712" max="8712" width="24.85546875" style="798" customWidth="1"/>
    <col min="8713" max="8713" width="21.140625" style="798" customWidth="1"/>
    <col min="8714" max="8714" width="21.42578125" style="798" customWidth="1"/>
    <col min="8715" max="8715" width="27.85546875" style="798" customWidth="1"/>
    <col min="8716" max="8716" width="23.42578125" style="798" customWidth="1"/>
    <col min="8717" max="8717" width="21.42578125" style="798" customWidth="1"/>
    <col min="8718" max="8720" width="20.7109375" style="798" customWidth="1"/>
    <col min="8721" max="8721" width="32.28515625" style="798" bestFit="1" customWidth="1"/>
    <col min="8722" max="8722" width="20.7109375" style="798" customWidth="1"/>
    <col min="8723" max="8723" width="22" style="798" customWidth="1"/>
    <col min="8724" max="8727" width="21.28515625" style="798" customWidth="1"/>
    <col min="8728" max="8728" width="22.28515625" style="798" customWidth="1"/>
    <col min="8729" max="8730" width="11.42578125" style="798"/>
    <col min="8731" max="8731" width="14.85546875" style="798" bestFit="1" customWidth="1"/>
    <col min="8732" max="8956" width="11.42578125" style="798"/>
    <col min="8957" max="8957" width="34.42578125" style="798" customWidth="1"/>
    <col min="8958" max="8959" width="19.42578125" style="798" bestFit="1" customWidth="1"/>
    <col min="8960" max="8960" width="19.7109375" style="798" customWidth="1"/>
    <col min="8961" max="8962" width="20.42578125" style="798" customWidth="1"/>
    <col min="8963" max="8964" width="19.7109375" style="798" customWidth="1"/>
    <col min="8965" max="8965" width="25.28515625" style="798" customWidth="1"/>
    <col min="8966" max="8966" width="26" style="798" customWidth="1"/>
    <col min="8967" max="8967" width="22.28515625" style="798" customWidth="1"/>
    <col min="8968" max="8968" width="24.85546875" style="798" customWidth="1"/>
    <col min="8969" max="8969" width="21.140625" style="798" customWidth="1"/>
    <col min="8970" max="8970" width="21.42578125" style="798" customWidth="1"/>
    <col min="8971" max="8971" width="27.85546875" style="798" customWidth="1"/>
    <col min="8972" max="8972" width="23.42578125" style="798" customWidth="1"/>
    <col min="8973" max="8973" width="21.42578125" style="798" customWidth="1"/>
    <col min="8974" max="8976" width="20.7109375" style="798" customWidth="1"/>
    <col min="8977" max="8977" width="32.28515625" style="798" bestFit="1" customWidth="1"/>
    <col min="8978" max="8978" width="20.7109375" style="798" customWidth="1"/>
    <col min="8979" max="8979" width="22" style="798" customWidth="1"/>
    <col min="8980" max="8983" width="21.28515625" style="798" customWidth="1"/>
    <col min="8984" max="8984" width="22.28515625" style="798" customWidth="1"/>
    <col min="8985" max="8986" width="11.42578125" style="798"/>
    <col min="8987" max="8987" width="14.85546875" style="798" bestFit="1" customWidth="1"/>
    <col min="8988" max="9212" width="11.42578125" style="798"/>
    <col min="9213" max="9213" width="34.42578125" style="798" customWidth="1"/>
    <col min="9214" max="9215" width="19.42578125" style="798" bestFit="1" customWidth="1"/>
    <col min="9216" max="9216" width="19.7109375" style="798" customWidth="1"/>
    <col min="9217" max="9218" width="20.42578125" style="798" customWidth="1"/>
    <col min="9219" max="9220" width="19.7109375" style="798" customWidth="1"/>
    <col min="9221" max="9221" width="25.28515625" style="798" customWidth="1"/>
    <col min="9222" max="9222" width="26" style="798" customWidth="1"/>
    <col min="9223" max="9223" width="22.28515625" style="798" customWidth="1"/>
    <col min="9224" max="9224" width="24.85546875" style="798" customWidth="1"/>
    <col min="9225" max="9225" width="21.140625" style="798" customWidth="1"/>
    <col min="9226" max="9226" width="21.42578125" style="798" customWidth="1"/>
    <col min="9227" max="9227" width="27.85546875" style="798" customWidth="1"/>
    <col min="9228" max="9228" width="23.42578125" style="798" customWidth="1"/>
    <col min="9229" max="9229" width="21.42578125" style="798" customWidth="1"/>
    <col min="9230" max="9232" width="20.7109375" style="798" customWidth="1"/>
    <col min="9233" max="9233" width="32.28515625" style="798" bestFit="1" customWidth="1"/>
    <col min="9234" max="9234" width="20.7109375" style="798" customWidth="1"/>
    <col min="9235" max="9235" width="22" style="798" customWidth="1"/>
    <col min="9236" max="9239" width="21.28515625" style="798" customWidth="1"/>
    <col min="9240" max="9240" width="22.28515625" style="798" customWidth="1"/>
    <col min="9241" max="9242" width="11.42578125" style="798"/>
    <col min="9243" max="9243" width="14.85546875" style="798" bestFit="1" customWidth="1"/>
    <col min="9244" max="9468" width="11.42578125" style="798"/>
    <col min="9469" max="9469" width="34.42578125" style="798" customWidth="1"/>
    <col min="9470" max="9471" width="19.42578125" style="798" bestFit="1" customWidth="1"/>
    <col min="9472" max="9472" width="19.7109375" style="798" customWidth="1"/>
    <col min="9473" max="9474" width="20.42578125" style="798" customWidth="1"/>
    <col min="9475" max="9476" width="19.7109375" style="798" customWidth="1"/>
    <col min="9477" max="9477" width="25.28515625" style="798" customWidth="1"/>
    <col min="9478" max="9478" width="26" style="798" customWidth="1"/>
    <col min="9479" max="9479" width="22.28515625" style="798" customWidth="1"/>
    <col min="9480" max="9480" width="24.85546875" style="798" customWidth="1"/>
    <col min="9481" max="9481" width="21.140625" style="798" customWidth="1"/>
    <col min="9482" max="9482" width="21.42578125" style="798" customWidth="1"/>
    <col min="9483" max="9483" width="27.85546875" style="798" customWidth="1"/>
    <col min="9484" max="9484" width="23.42578125" style="798" customWidth="1"/>
    <col min="9485" max="9485" width="21.42578125" style="798" customWidth="1"/>
    <col min="9486" max="9488" width="20.7109375" style="798" customWidth="1"/>
    <col min="9489" max="9489" width="32.28515625" style="798" bestFit="1" customWidth="1"/>
    <col min="9490" max="9490" width="20.7109375" style="798" customWidth="1"/>
    <col min="9491" max="9491" width="22" style="798" customWidth="1"/>
    <col min="9492" max="9495" width="21.28515625" style="798" customWidth="1"/>
    <col min="9496" max="9496" width="22.28515625" style="798" customWidth="1"/>
    <col min="9497" max="9498" width="11.42578125" style="798"/>
    <col min="9499" max="9499" width="14.85546875" style="798" bestFit="1" customWidth="1"/>
    <col min="9500" max="9724" width="11.42578125" style="798"/>
    <col min="9725" max="9725" width="34.42578125" style="798" customWidth="1"/>
    <col min="9726" max="9727" width="19.42578125" style="798" bestFit="1" customWidth="1"/>
    <col min="9728" max="9728" width="19.7109375" style="798" customWidth="1"/>
    <col min="9729" max="9730" width="20.42578125" style="798" customWidth="1"/>
    <col min="9731" max="9732" width="19.7109375" style="798" customWidth="1"/>
    <col min="9733" max="9733" width="25.28515625" style="798" customWidth="1"/>
    <col min="9734" max="9734" width="26" style="798" customWidth="1"/>
    <col min="9735" max="9735" width="22.28515625" style="798" customWidth="1"/>
    <col min="9736" max="9736" width="24.85546875" style="798" customWidth="1"/>
    <col min="9737" max="9737" width="21.140625" style="798" customWidth="1"/>
    <col min="9738" max="9738" width="21.42578125" style="798" customWidth="1"/>
    <col min="9739" max="9739" width="27.85546875" style="798" customWidth="1"/>
    <col min="9740" max="9740" width="23.42578125" style="798" customWidth="1"/>
    <col min="9741" max="9741" width="21.42578125" style="798" customWidth="1"/>
    <col min="9742" max="9744" width="20.7109375" style="798" customWidth="1"/>
    <col min="9745" max="9745" width="32.28515625" style="798" bestFit="1" customWidth="1"/>
    <col min="9746" max="9746" width="20.7109375" style="798" customWidth="1"/>
    <col min="9747" max="9747" width="22" style="798" customWidth="1"/>
    <col min="9748" max="9751" width="21.28515625" style="798" customWidth="1"/>
    <col min="9752" max="9752" width="22.28515625" style="798" customWidth="1"/>
    <col min="9753" max="9754" width="11.42578125" style="798"/>
    <col min="9755" max="9755" width="14.85546875" style="798" bestFit="1" customWidth="1"/>
    <col min="9756" max="9980" width="11.42578125" style="798"/>
    <col min="9981" max="9981" width="34.42578125" style="798" customWidth="1"/>
    <col min="9982" max="9983" width="19.42578125" style="798" bestFit="1" customWidth="1"/>
    <col min="9984" max="9984" width="19.7109375" style="798" customWidth="1"/>
    <col min="9985" max="9986" width="20.42578125" style="798" customWidth="1"/>
    <col min="9987" max="9988" width="19.7109375" style="798" customWidth="1"/>
    <col min="9989" max="9989" width="25.28515625" style="798" customWidth="1"/>
    <col min="9990" max="9990" width="26" style="798" customWidth="1"/>
    <col min="9991" max="9991" width="22.28515625" style="798" customWidth="1"/>
    <col min="9992" max="9992" width="24.85546875" style="798" customWidth="1"/>
    <col min="9993" max="9993" width="21.140625" style="798" customWidth="1"/>
    <col min="9994" max="9994" width="21.42578125" style="798" customWidth="1"/>
    <col min="9995" max="9995" width="27.85546875" style="798" customWidth="1"/>
    <col min="9996" max="9996" width="23.42578125" style="798" customWidth="1"/>
    <col min="9997" max="9997" width="21.42578125" style="798" customWidth="1"/>
    <col min="9998" max="10000" width="20.7109375" style="798" customWidth="1"/>
    <col min="10001" max="10001" width="32.28515625" style="798" bestFit="1" customWidth="1"/>
    <col min="10002" max="10002" width="20.7109375" style="798" customWidth="1"/>
    <col min="10003" max="10003" width="22" style="798" customWidth="1"/>
    <col min="10004" max="10007" width="21.28515625" style="798" customWidth="1"/>
    <col min="10008" max="10008" width="22.28515625" style="798" customWidth="1"/>
    <col min="10009" max="10010" width="11.42578125" style="798"/>
    <col min="10011" max="10011" width="14.85546875" style="798" bestFit="1" customWidth="1"/>
    <col min="10012" max="10236" width="11.42578125" style="798"/>
    <col min="10237" max="10237" width="34.42578125" style="798" customWidth="1"/>
    <col min="10238" max="10239" width="19.42578125" style="798" bestFit="1" customWidth="1"/>
    <col min="10240" max="10240" width="19.7109375" style="798" customWidth="1"/>
    <col min="10241" max="10242" width="20.42578125" style="798" customWidth="1"/>
    <col min="10243" max="10244" width="19.7109375" style="798" customWidth="1"/>
    <col min="10245" max="10245" width="25.28515625" style="798" customWidth="1"/>
    <col min="10246" max="10246" width="26" style="798" customWidth="1"/>
    <col min="10247" max="10247" width="22.28515625" style="798" customWidth="1"/>
    <col min="10248" max="10248" width="24.85546875" style="798" customWidth="1"/>
    <col min="10249" max="10249" width="21.140625" style="798" customWidth="1"/>
    <col min="10250" max="10250" width="21.42578125" style="798" customWidth="1"/>
    <col min="10251" max="10251" width="27.85546875" style="798" customWidth="1"/>
    <col min="10252" max="10252" width="23.42578125" style="798" customWidth="1"/>
    <col min="10253" max="10253" width="21.42578125" style="798" customWidth="1"/>
    <col min="10254" max="10256" width="20.7109375" style="798" customWidth="1"/>
    <col min="10257" max="10257" width="32.28515625" style="798" bestFit="1" customWidth="1"/>
    <col min="10258" max="10258" width="20.7109375" style="798" customWidth="1"/>
    <col min="10259" max="10259" width="22" style="798" customWidth="1"/>
    <col min="10260" max="10263" width="21.28515625" style="798" customWidth="1"/>
    <col min="10264" max="10264" width="22.28515625" style="798" customWidth="1"/>
    <col min="10265" max="10266" width="11.42578125" style="798"/>
    <col min="10267" max="10267" width="14.85546875" style="798" bestFit="1" customWidth="1"/>
    <col min="10268" max="10492" width="11.42578125" style="798"/>
    <col min="10493" max="10493" width="34.42578125" style="798" customWidth="1"/>
    <col min="10494" max="10495" width="19.42578125" style="798" bestFit="1" customWidth="1"/>
    <col min="10496" max="10496" width="19.7109375" style="798" customWidth="1"/>
    <col min="10497" max="10498" width="20.42578125" style="798" customWidth="1"/>
    <col min="10499" max="10500" width="19.7109375" style="798" customWidth="1"/>
    <col min="10501" max="10501" width="25.28515625" style="798" customWidth="1"/>
    <col min="10502" max="10502" width="26" style="798" customWidth="1"/>
    <col min="10503" max="10503" width="22.28515625" style="798" customWidth="1"/>
    <col min="10504" max="10504" width="24.85546875" style="798" customWidth="1"/>
    <col min="10505" max="10505" width="21.140625" style="798" customWidth="1"/>
    <col min="10506" max="10506" width="21.42578125" style="798" customWidth="1"/>
    <col min="10507" max="10507" width="27.85546875" style="798" customWidth="1"/>
    <col min="10508" max="10508" width="23.42578125" style="798" customWidth="1"/>
    <col min="10509" max="10509" width="21.42578125" style="798" customWidth="1"/>
    <col min="10510" max="10512" width="20.7109375" style="798" customWidth="1"/>
    <col min="10513" max="10513" width="32.28515625" style="798" bestFit="1" customWidth="1"/>
    <col min="10514" max="10514" width="20.7109375" style="798" customWidth="1"/>
    <col min="10515" max="10515" width="22" style="798" customWidth="1"/>
    <col min="10516" max="10519" width="21.28515625" style="798" customWidth="1"/>
    <col min="10520" max="10520" width="22.28515625" style="798" customWidth="1"/>
    <col min="10521" max="10522" width="11.42578125" style="798"/>
    <col min="10523" max="10523" width="14.85546875" style="798" bestFit="1" customWidth="1"/>
    <col min="10524" max="10748" width="11.42578125" style="798"/>
    <col min="10749" max="10749" width="34.42578125" style="798" customWidth="1"/>
    <col min="10750" max="10751" width="19.42578125" style="798" bestFit="1" customWidth="1"/>
    <col min="10752" max="10752" width="19.7109375" style="798" customWidth="1"/>
    <col min="10753" max="10754" width="20.42578125" style="798" customWidth="1"/>
    <col min="10755" max="10756" width="19.7109375" style="798" customWidth="1"/>
    <col min="10757" max="10757" width="25.28515625" style="798" customWidth="1"/>
    <col min="10758" max="10758" width="26" style="798" customWidth="1"/>
    <col min="10759" max="10759" width="22.28515625" style="798" customWidth="1"/>
    <col min="10760" max="10760" width="24.85546875" style="798" customWidth="1"/>
    <col min="10761" max="10761" width="21.140625" style="798" customWidth="1"/>
    <col min="10762" max="10762" width="21.42578125" style="798" customWidth="1"/>
    <col min="10763" max="10763" width="27.85546875" style="798" customWidth="1"/>
    <col min="10764" max="10764" width="23.42578125" style="798" customWidth="1"/>
    <col min="10765" max="10765" width="21.42578125" style="798" customWidth="1"/>
    <col min="10766" max="10768" width="20.7109375" style="798" customWidth="1"/>
    <col min="10769" max="10769" width="32.28515625" style="798" bestFit="1" customWidth="1"/>
    <col min="10770" max="10770" width="20.7109375" style="798" customWidth="1"/>
    <col min="10771" max="10771" width="22" style="798" customWidth="1"/>
    <col min="10772" max="10775" width="21.28515625" style="798" customWidth="1"/>
    <col min="10776" max="10776" width="22.28515625" style="798" customWidth="1"/>
    <col min="10777" max="10778" width="11.42578125" style="798"/>
    <col min="10779" max="10779" width="14.85546875" style="798" bestFit="1" customWidth="1"/>
    <col min="10780" max="11004" width="11.42578125" style="798"/>
    <col min="11005" max="11005" width="34.42578125" style="798" customWidth="1"/>
    <col min="11006" max="11007" width="19.42578125" style="798" bestFit="1" customWidth="1"/>
    <col min="11008" max="11008" width="19.7109375" style="798" customWidth="1"/>
    <col min="11009" max="11010" width="20.42578125" style="798" customWidth="1"/>
    <col min="11011" max="11012" width="19.7109375" style="798" customWidth="1"/>
    <col min="11013" max="11013" width="25.28515625" style="798" customWidth="1"/>
    <col min="11014" max="11014" width="26" style="798" customWidth="1"/>
    <col min="11015" max="11015" width="22.28515625" style="798" customWidth="1"/>
    <col min="11016" max="11016" width="24.85546875" style="798" customWidth="1"/>
    <col min="11017" max="11017" width="21.140625" style="798" customWidth="1"/>
    <col min="11018" max="11018" width="21.42578125" style="798" customWidth="1"/>
    <col min="11019" max="11019" width="27.85546875" style="798" customWidth="1"/>
    <col min="11020" max="11020" width="23.42578125" style="798" customWidth="1"/>
    <col min="11021" max="11021" width="21.42578125" style="798" customWidth="1"/>
    <col min="11022" max="11024" width="20.7109375" style="798" customWidth="1"/>
    <col min="11025" max="11025" width="32.28515625" style="798" bestFit="1" customWidth="1"/>
    <col min="11026" max="11026" width="20.7109375" style="798" customWidth="1"/>
    <col min="11027" max="11027" width="22" style="798" customWidth="1"/>
    <col min="11028" max="11031" width="21.28515625" style="798" customWidth="1"/>
    <col min="11032" max="11032" width="22.28515625" style="798" customWidth="1"/>
    <col min="11033" max="11034" width="11.42578125" style="798"/>
    <col min="11035" max="11035" width="14.85546875" style="798" bestFit="1" customWidth="1"/>
    <col min="11036" max="11260" width="11.42578125" style="798"/>
    <col min="11261" max="11261" width="34.42578125" style="798" customWidth="1"/>
    <col min="11262" max="11263" width="19.42578125" style="798" bestFit="1" customWidth="1"/>
    <col min="11264" max="11264" width="19.7109375" style="798" customWidth="1"/>
    <col min="11265" max="11266" width="20.42578125" style="798" customWidth="1"/>
    <col min="11267" max="11268" width="19.7109375" style="798" customWidth="1"/>
    <col min="11269" max="11269" width="25.28515625" style="798" customWidth="1"/>
    <col min="11270" max="11270" width="26" style="798" customWidth="1"/>
    <col min="11271" max="11271" width="22.28515625" style="798" customWidth="1"/>
    <col min="11272" max="11272" width="24.85546875" style="798" customWidth="1"/>
    <col min="11273" max="11273" width="21.140625" style="798" customWidth="1"/>
    <col min="11274" max="11274" width="21.42578125" style="798" customWidth="1"/>
    <col min="11275" max="11275" width="27.85546875" style="798" customWidth="1"/>
    <col min="11276" max="11276" width="23.42578125" style="798" customWidth="1"/>
    <col min="11277" max="11277" width="21.42578125" style="798" customWidth="1"/>
    <col min="11278" max="11280" width="20.7109375" style="798" customWidth="1"/>
    <col min="11281" max="11281" width="32.28515625" style="798" bestFit="1" customWidth="1"/>
    <col min="11282" max="11282" width="20.7109375" style="798" customWidth="1"/>
    <col min="11283" max="11283" width="22" style="798" customWidth="1"/>
    <col min="11284" max="11287" width="21.28515625" style="798" customWidth="1"/>
    <col min="11288" max="11288" width="22.28515625" style="798" customWidth="1"/>
    <col min="11289" max="11290" width="11.42578125" style="798"/>
    <col min="11291" max="11291" width="14.85546875" style="798" bestFit="1" customWidth="1"/>
    <col min="11292" max="11516" width="11.42578125" style="798"/>
    <col min="11517" max="11517" width="34.42578125" style="798" customWidth="1"/>
    <col min="11518" max="11519" width="19.42578125" style="798" bestFit="1" customWidth="1"/>
    <col min="11520" max="11520" width="19.7109375" style="798" customWidth="1"/>
    <col min="11521" max="11522" width="20.42578125" style="798" customWidth="1"/>
    <col min="11523" max="11524" width="19.7109375" style="798" customWidth="1"/>
    <col min="11525" max="11525" width="25.28515625" style="798" customWidth="1"/>
    <col min="11526" max="11526" width="26" style="798" customWidth="1"/>
    <col min="11527" max="11527" width="22.28515625" style="798" customWidth="1"/>
    <col min="11528" max="11528" width="24.85546875" style="798" customWidth="1"/>
    <col min="11529" max="11529" width="21.140625" style="798" customWidth="1"/>
    <col min="11530" max="11530" width="21.42578125" style="798" customWidth="1"/>
    <col min="11531" max="11531" width="27.85546875" style="798" customWidth="1"/>
    <col min="11532" max="11532" width="23.42578125" style="798" customWidth="1"/>
    <col min="11533" max="11533" width="21.42578125" style="798" customWidth="1"/>
    <col min="11534" max="11536" width="20.7109375" style="798" customWidth="1"/>
    <col min="11537" max="11537" width="32.28515625" style="798" bestFit="1" customWidth="1"/>
    <col min="11538" max="11538" width="20.7109375" style="798" customWidth="1"/>
    <col min="11539" max="11539" width="22" style="798" customWidth="1"/>
    <col min="11540" max="11543" width="21.28515625" style="798" customWidth="1"/>
    <col min="11544" max="11544" width="22.28515625" style="798" customWidth="1"/>
    <col min="11545" max="11546" width="11.42578125" style="798"/>
    <col min="11547" max="11547" width="14.85546875" style="798" bestFit="1" customWidth="1"/>
    <col min="11548" max="11772" width="11.42578125" style="798"/>
    <col min="11773" max="11773" width="34.42578125" style="798" customWidth="1"/>
    <col min="11774" max="11775" width="19.42578125" style="798" bestFit="1" customWidth="1"/>
    <col min="11776" max="11776" width="19.7109375" style="798" customWidth="1"/>
    <col min="11777" max="11778" width="20.42578125" style="798" customWidth="1"/>
    <col min="11779" max="11780" width="19.7109375" style="798" customWidth="1"/>
    <col min="11781" max="11781" width="25.28515625" style="798" customWidth="1"/>
    <col min="11782" max="11782" width="26" style="798" customWidth="1"/>
    <col min="11783" max="11783" width="22.28515625" style="798" customWidth="1"/>
    <col min="11784" max="11784" width="24.85546875" style="798" customWidth="1"/>
    <col min="11785" max="11785" width="21.140625" style="798" customWidth="1"/>
    <col min="11786" max="11786" width="21.42578125" style="798" customWidth="1"/>
    <col min="11787" max="11787" width="27.85546875" style="798" customWidth="1"/>
    <col min="11788" max="11788" width="23.42578125" style="798" customWidth="1"/>
    <col min="11789" max="11789" width="21.42578125" style="798" customWidth="1"/>
    <col min="11790" max="11792" width="20.7109375" style="798" customWidth="1"/>
    <col min="11793" max="11793" width="32.28515625" style="798" bestFit="1" customWidth="1"/>
    <col min="11794" max="11794" width="20.7109375" style="798" customWidth="1"/>
    <col min="11795" max="11795" width="22" style="798" customWidth="1"/>
    <col min="11796" max="11799" width="21.28515625" style="798" customWidth="1"/>
    <col min="11800" max="11800" width="22.28515625" style="798" customWidth="1"/>
    <col min="11801" max="11802" width="11.42578125" style="798"/>
    <col min="11803" max="11803" width="14.85546875" style="798" bestFit="1" customWidth="1"/>
    <col min="11804" max="12028" width="11.42578125" style="798"/>
    <col min="12029" max="12029" width="34.42578125" style="798" customWidth="1"/>
    <col min="12030" max="12031" width="19.42578125" style="798" bestFit="1" customWidth="1"/>
    <col min="12032" max="12032" width="19.7109375" style="798" customWidth="1"/>
    <col min="12033" max="12034" width="20.42578125" style="798" customWidth="1"/>
    <col min="12035" max="12036" width="19.7109375" style="798" customWidth="1"/>
    <col min="12037" max="12037" width="25.28515625" style="798" customWidth="1"/>
    <col min="12038" max="12038" width="26" style="798" customWidth="1"/>
    <col min="12039" max="12039" width="22.28515625" style="798" customWidth="1"/>
    <col min="12040" max="12040" width="24.85546875" style="798" customWidth="1"/>
    <col min="12041" max="12041" width="21.140625" style="798" customWidth="1"/>
    <col min="12042" max="12042" width="21.42578125" style="798" customWidth="1"/>
    <col min="12043" max="12043" width="27.85546875" style="798" customWidth="1"/>
    <col min="12044" max="12044" width="23.42578125" style="798" customWidth="1"/>
    <col min="12045" max="12045" width="21.42578125" style="798" customWidth="1"/>
    <col min="12046" max="12048" width="20.7109375" style="798" customWidth="1"/>
    <col min="12049" max="12049" width="32.28515625" style="798" bestFit="1" customWidth="1"/>
    <col min="12050" max="12050" width="20.7109375" style="798" customWidth="1"/>
    <col min="12051" max="12051" width="22" style="798" customWidth="1"/>
    <col min="12052" max="12055" width="21.28515625" style="798" customWidth="1"/>
    <col min="12056" max="12056" width="22.28515625" style="798" customWidth="1"/>
    <col min="12057" max="12058" width="11.42578125" style="798"/>
    <col min="12059" max="12059" width="14.85546875" style="798" bestFit="1" customWidth="1"/>
    <col min="12060" max="12284" width="11.42578125" style="798"/>
    <col min="12285" max="12285" width="34.42578125" style="798" customWidth="1"/>
    <col min="12286" max="12287" width="19.42578125" style="798" bestFit="1" customWidth="1"/>
    <col min="12288" max="12288" width="19.7109375" style="798" customWidth="1"/>
    <col min="12289" max="12290" width="20.42578125" style="798" customWidth="1"/>
    <col min="12291" max="12292" width="19.7109375" style="798" customWidth="1"/>
    <col min="12293" max="12293" width="25.28515625" style="798" customWidth="1"/>
    <col min="12294" max="12294" width="26" style="798" customWidth="1"/>
    <col min="12295" max="12295" width="22.28515625" style="798" customWidth="1"/>
    <col min="12296" max="12296" width="24.85546875" style="798" customWidth="1"/>
    <col min="12297" max="12297" width="21.140625" style="798" customWidth="1"/>
    <col min="12298" max="12298" width="21.42578125" style="798" customWidth="1"/>
    <col min="12299" max="12299" width="27.85546875" style="798" customWidth="1"/>
    <col min="12300" max="12300" width="23.42578125" style="798" customWidth="1"/>
    <col min="12301" max="12301" width="21.42578125" style="798" customWidth="1"/>
    <col min="12302" max="12304" width="20.7109375" style="798" customWidth="1"/>
    <col min="12305" max="12305" width="32.28515625" style="798" bestFit="1" customWidth="1"/>
    <col min="12306" max="12306" width="20.7109375" style="798" customWidth="1"/>
    <col min="12307" max="12307" width="22" style="798" customWidth="1"/>
    <col min="12308" max="12311" width="21.28515625" style="798" customWidth="1"/>
    <col min="12312" max="12312" width="22.28515625" style="798" customWidth="1"/>
    <col min="12313" max="12314" width="11.42578125" style="798"/>
    <col min="12315" max="12315" width="14.85546875" style="798" bestFit="1" customWidth="1"/>
    <col min="12316" max="12540" width="11.42578125" style="798"/>
    <col min="12541" max="12541" width="34.42578125" style="798" customWidth="1"/>
    <col min="12542" max="12543" width="19.42578125" style="798" bestFit="1" customWidth="1"/>
    <col min="12544" max="12544" width="19.7109375" style="798" customWidth="1"/>
    <col min="12545" max="12546" width="20.42578125" style="798" customWidth="1"/>
    <col min="12547" max="12548" width="19.7109375" style="798" customWidth="1"/>
    <col min="12549" max="12549" width="25.28515625" style="798" customWidth="1"/>
    <col min="12550" max="12550" width="26" style="798" customWidth="1"/>
    <col min="12551" max="12551" width="22.28515625" style="798" customWidth="1"/>
    <col min="12552" max="12552" width="24.85546875" style="798" customWidth="1"/>
    <col min="12553" max="12553" width="21.140625" style="798" customWidth="1"/>
    <col min="12554" max="12554" width="21.42578125" style="798" customWidth="1"/>
    <col min="12555" max="12555" width="27.85546875" style="798" customWidth="1"/>
    <col min="12556" max="12556" width="23.42578125" style="798" customWidth="1"/>
    <col min="12557" max="12557" width="21.42578125" style="798" customWidth="1"/>
    <col min="12558" max="12560" width="20.7109375" style="798" customWidth="1"/>
    <col min="12561" max="12561" width="32.28515625" style="798" bestFit="1" customWidth="1"/>
    <col min="12562" max="12562" width="20.7109375" style="798" customWidth="1"/>
    <col min="12563" max="12563" width="22" style="798" customWidth="1"/>
    <col min="12564" max="12567" width="21.28515625" style="798" customWidth="1"/>
    <col min="12568" max="12568" width="22.28515625" style="798" customWidth="1"/>
    <col min="12569" max="12570" width="11.42578125" style="798"/>
    <col min="12571" max="12571" width="14.85546875" style="798" bestFit="1" customWidth="1"/>
    <col min="12572" max="12796" width="11.42578125" style="798"/>
    <col min="12797" max="12797" width="34.42578125" style="798" customWidth="1"/>
    <col min="12798" max="12799" width="19.42578125" style="798" bestFit="1" customWidth="1"/>
    <col min="12800" max="12800" width="19.7109375" style="798" customWidth="1"/>
    <col min="12801" max="12802" width="20.42578125" style="798" customWidth="1"/>
    <col min="12803" max="12804" width="19.7109375" style="798" customWidth="1"/>
    <col min="12805" max="12805" width="25.28515625" style="798" customWidth="1"/>
    <col min="12806" max="12806" width="26" style="798" customWidth="1"/>
    <col min="12807" max="12807" width="22.28515625" style="798" customWidth="1"/>
    <col min="12808" max="12808" width="24.85546875" style="798" customWidth="1"/>
    <col min="12809" max="12809" width="21.140625" style="798" customWidth="1"/>
    <col min="12810" max="12810" width="21.42578125" style="798" customWidth="1"/>
    <col min="12811" max="12811" width="27.85546875" style="798" customWidth="1"/>
    <col min="12812" max="12812" width="23.42578125" style="798" customWidth="1"/>
    <col min="12813" max="12813" width="21.42578125" style="798" customWidth="1"/>
    <col min="12814" max="12816" width="20.7109375" style="798" customWidth="1"/>
    <col min="12817" max="12817" width="32.28515625" style="798" bestFit="1" customWidth="1"/>
    <col min="12818" max="12818" width="20.7109375" style="798" customWidth="1"/>
    <col min="12819" max="12819" width="22" style="798" customWidth="1"/>
    <col min="12820" max="12823" width="21.28515625" style="798" customWidth="1"/>
    <col min="12824" max="12824" width="22.28515625" style="798" customWidth="1"/>
    <col min="12825" max="12826" width="11.42578125" style="798"/>
    <col min="12827" max="12827" width="14.85546875" style="798" bestFit="1" customWidth="1"/>
    <col min="12828" max="13052" width="11.42578125" style="798"/>
    <col min="13053" max="13053" width="34.42578125" style="798" customWidth="1"/>
    <col min="13054" max="13055" width="19.42578125" style="798" bestFit="1" customWidth="1"/>
    <col min="13056" max="13056" width="19.7109375" style="798" customWidth="1"/>
    <col min="13057" max="13058" width="20.42578125" style="798" customWidth="1"/>
    <col min="13059" max="13060" width="19.7109375" style="798" customWidth="1"/>
    <col min="13061" max="13061" width="25.28515625" style="798" customWidth="1"/>
    <col min="13062" max="13062" width="26" style="798" customWidth="1"/>
    <col min="13063" max="13063" width="22.28515625" style="798" customWidth="1"/>
    <col min="13064" max="13064" width="24.85546875" style="798" customWidth="1"/>
    <col min="13065" max="13065" width="21.140625" style="798" customWidth="1"/>
    <col min="13066" max="13066" width="21.42578125" style="798" customWidth="1"/>
    <col min="13067" max="13067" width="27.85546875" style="798" customWidth="1"/>
    <col min="13068" max="13068" width="23.42578125" style="798" customWidth="1"/>
    <col min="13069" max="13069" width="21.42578125" style="798" customWidth="1"/>
    <col min="13070" max="13072" width="20.7109375" style="798" customWidth="1"/>
    <col min="13073" max="13073" width="32.28515625" style="798" bestFit="1" customWidth="1"/>
    <col min="13074" max="13074" width="20.7109375" style="798" customWidth="1"/>
    <col min="13075" max="13075" width="22" style="798" customWidth="1"/>
    <col min="13076" max="13079" width="21.28515625" style="798" customWidth="1"/>
    <col min="13080" max="13080" width="22.28515625" style="798" customWidth="1"/>
    <col min="13081" max="13082" width="11.42578125" style="798"/>
    <col min="13083" max="13083" width="14.85546875" style="798" bestFit="1" customWidth="1"/>
    <col min="13084" max="13308" width="11.42578125" style="798"/>
    <col min="13309" max="13309" width="34.42578125" style="798" customWidth="1"/>
    <col min="13310" max="13311" width="19.42578125" style="798" bestFit="1" customWidth="1"/>
    <col min="13312" max="13312" width="19.7109375" style="798" customWidth="1"/>
    <col min="13313" max="13314" width="20.42578125" style="798" customWidth="1"/>
    <col min="13315" max="13316" width="19.7109375" style="798" customWidth="1"/>
    <col min="13317" max="13317" width="25.28515625" style="798" customWidth="1"/>
    <col min="13318" max="13318" width="26" style="798" customWidth="1"/>
    <col min="13319" max="13319" width="22.28515625" style="798" customWidth="1"/>
    <col min="13320" max="13320" width="24.85546875" style="798" customWidth="1"/>
    <col min="13321" max="13321" width="21.140625" style="798" customWidth="1"/>
    <col min="13322" max="13322" width="21.42578125" style="798" customWidth="1"/>
    <col min="13323" max="13323" width="27.85546875" style="798" customWidth="1"/>
    <col min="13324" max="13324" width="23.42578125" style="798" customWidth="1"/>
    <col min="13325" max="13325" width="21.42578125" style="798" customWidth="1"/>
    <col min="13326" max="13328" width="20.7109375" style="798" customWidth="1"/>
    <col min="13329" max="13329" width="32.28515625" style="798" bestFit="1" customWidth="1"/>
    <col min="13330" max="13330" width="20.7109375" style="798" customWidth="1"/>
    <col min="13331" max="13331" width="22" style="798" customWidth="1"/>
    <col min="13332" max="13335" width="21.28515625" style="798" customWidth="1"/>
    <col min="13336" max="13336" width="22.28515625" style="798" customWidth="1"/>
    <col min="13337" max="13338" width="11.42578125" style="798"/>
    <col min="13339" max="13339" width="14.85546875" style="798" bestFit="1" customWidth="1"/>
    <col min="13340" max="13564" width="11.42578125" style="798"/>
    <col min="13565" max="13565" width="34.42578125" style="798" customWidth="1"/>
    <col min="13566" max="13567" width="19.42578125" style="798" bestFit="1" customWidth="1"/>
    <col min="13568" max="13568" width="19.7109375" style="798" customWidth="1"/>
    <col min="13569" max="13570" width="20.42578125" style="798" customWidth="1"/>
    <col min="13571" max="13572" width="19.7109375" style="798" customWidth="1"/>
    <col min="13573" max="13573" width="25.28515625" style="798" customWidth="1"/>
    <col min="13574" max="13574" width="26" style="798" customWidth="1"/>
    <col min="13575" max="13575" width="22.28515625" style="798" customWidth="1"/>
    <col min="13576" max="13576" width="24.85546875" style="798" customWidth="1"/>
    <col min="13577" max="13577" width="21.140625" style="798" customWidth="1"/>
    <col min="13578" max="13578" width="21.42578125" style="798" customWidth="1"/>
    <col min="13579" max="13579" width="27.85546875" style="798" customWidth="1"/>
    <col min="13580" max="13580" width="23.42578125" style="798" customWidth="1"/>
    <col min="13581" max="13581" width="21.42578125" style="798" customWidth="1"/>
    <col min="13582" max="13584" width="20.7109375" style="798" customWidth="1"/>
    <col min="13585" max="13585" width="32.28515625" style="798" bestFit="1" customWidth="1"/>
    <col min="13586" max="13586" width="20.7109375" style="798" customWidth="1"/>
    <col min="13587" max="13587" width="22" style="798" customWidth="1"/>
    <col min="13588" max="13591" width="21.28515625" style="798" customWidth="1"/>
    <col min="13592" max="13592" width="22.28515625" style="798" customWidth="1"/>
    <col min="13593" max="13594" width="11.42578125" style="798"/>
    <col min="13595" max="13595" width="14.85546875" style="798" bestFit="1" customWidth="1"/>
    <col min="13596" max="13820" width="11.42578125" style="798"/>
    <col min="13821" max="13821" width="34.42578125" style="798" customWidth="1"/>
    <col min="13822" max="13823" width="19.42578125" style="798" bestFit="1" customWidth="1"/>
    <col min="13824" max="13824" width="19.7109375" style="798" customWidth="1"/>
    <col min="13825" max="13826" width="20.42578125" style="798" customWidth="1"/>
    <col min="13827" max="13828" width="19.7109375" style="798" customWidth="1"/>
    <col min="13829" max="13829" width="25.28515625" style="798" customWidth="1"/>
    <col min="13830" max="13830" width="26" style="798" customWidth="1"/>
    <col min="13831" max="13831" width="22.28515625" style="798" customWidth="1"/>
    <col min="13832" max="13832" width="24.85546875" style="798" customWidth="1"/>
    <col min="13833" max="13833" width="21.140625" style="798" customWidth="1"/>
    <col min="13834" max="13834" width="21.42578125" style="798" customWidth="1"/>
    <col min="13835" max="13835" width="27.85546875" style="798" customWidth="1"/>
    <col min="13836" max="13836" width="23.42578125" style="798" customWidth="1"/>
    <col min="13837" max="13837" width="21.42578125" style="798" customWidth="1"/>
    <col min="13838" max="13840" width="20.7109375" style="798" customWidth="1"/>
    <col min="13841" max="13841" width="32.28515625" style="798" bestFit="1" customWidth="1"/>
    <col min="13842" max="13842" width="20.7109375" style="798" customWidth="1"/>
    <col min="13843" max="13843" width="22" style="798" customWidth="1"/>
    <col min="13844" max="13847" width="21.28515625" style="798" customWidth="1"/>
    <col min="13848" max="13848" width="22.28515625" style="798" customWidth="1"/>
    <col min="13849" max="13850" width="11.42578125" style="798"/>
    <col min="13851" max="13851" width="14.85546875" style="798" bestFit="1" customWidth="1"/>
    <col min="13852" max="14076" width="11.42578125" style="798"/>
    <col min="14077" max="14077" width="34.42578125" style="798" customWidth="1"/>
    <col min="14078" max="14079" width="19.42578125" style="798" bestFit="1" customWidth="1"/>
    <col min="14080" max="14080" width="19.7109375" style="798" customWidth="1"/>
    <col min="14081" max="14082" width="20.42578125" style="798" customWidth="1"/>
    <col min="14083" max="14084" width="19.7109375" style="798" customWidth="1"/>
    <col min="14085" max="14085" width="25.28515625" style="798" customWidth="1"/>
    <col min="14086" max="14086" width="26" style="798" customWidth="1"/>
    <col min="14087" max="14087" width="22.28515625" style="798" customWidth="1"/>
    <col min="14088" max="14088" width="24.85546875" style="798" customWidth="1"/>
    <col min="14089" max="14089" width="21.140625" style="798" customWidth="1"/>
    <col min="14090" max="14090" width="21.42578125" style="798" customWidth="1"/>
    <col min="14091" max="14091" width="27.85546875" style="798" customWidth="1"/>
    <col min="14092" max="14092" width="23.42578125" style="798" customWidth="1"/>
    <col min="14093" max="14093" width="21.42578125" style="798" customWidth="1"/>
    <col min="14094" max="14096" width="20.7109375" style="798" customWidth="1"/>
    <col min="14097" max="14097" width="32.28515625" style="798" bestFit="1" customWidth="1"/>
    <col min="14098" max="14098" width="20.7109375" style="798" customWidth="1"/>
    <col min="14099" max="14099" width="22" style="798" customWidth="1"/>
    <col min="14100" max="14103" width="21.28515625" style="798" customWidth="1"/>
    <col min="14104" max="14104" width="22.28515625" style="798" customWidth="1"/>
    <col min="14105" max="14106" width="11.42578125" style="798"/>
    <col min="14107" max="14107" width="14.85546875" style="798" bestFit="1" customWidth="1"/>
    <col min="14108" max="14332" width="11.42578125" style="798"/>
    <col min="14333" max="14333" width="34.42578125" style="798" customWidth="1"/>
    <col min="14334" max="14335" width="19.42578125" style="798" bestFit="1" customWidth="1"/>
    <col min="14336" max="14336" width="19.7109375" style="798" customWidth="1"/>
    <col min="14337" max="14338" width="20.42578125" style="798" customWidth="1"/>
    <col min="14339" max="14340" width="19.7109375" style="798" customWidth="1"/>
    <col min="14341" max="14341" width="25.28515625" style="798" customWidth="1"/>
    <col min="14342" max="14342" width="26" style="798" customWidth="1"/>
    <col min="14343" max="14343" width="22.28515625" style="798" customWidth="1"/>
    <col min="14344" max="14344" width="24.85546875" style="798" customWidth="1"/>
    <col min="14345" max="14345" width="21.140625" style="798" customWidth="1"/>
    <col min="14346" max="14346" width="21.42578125" style="798" customWidth="1"/>
    <col min="14347" max="14347" width="27.85546875" style="798" customWidth="1"/>
    <col min="14348" max="14348" width="23.42578125" style="798" customWidth="1"/>
    <col min="14349" max="14349" width="21.42578125" style="798" customWidth="1"/>
    <col min="14350" max="14352" width="20.7109375" style="798" customWidth="1"/>
    <col min="14353" max="14353" width="32.28515625" style="798" bestFit="1" customWidth="1"/>
    <col min="14354" max="14354" width="20.7109375" style="798" customWidth="1"/>
    <col min="14355" max="14355" width="22" style="798" customWidth="1"/>
    <col min="14356" max="14359" width="21.28515625" style="798" customWidth="1"/>
    <col min="14360" max="14360" width="22.28515625" style="798" customWidth="1"/>
    <col min="14361" max="14362" width="11.42578125" style="798"/>
    <col min="14363" max="14363" width="14.85546875" style="798" bestFit="1" customWidth="1"/>
    <col min="14364" max="14588" width="11.42578125" style="798"/>
    <col min="14589" max="14589" width="34.42578125" style="798" customWidth="1"/>
    <col min="14590" max="14591" width="19.42578125" style="798" bestFit="1" customWidth="1"/>
    <col min="14592" max="14592" width="19.7109375" style="798" customWidth="1"/>
    <col min="14593" max="14594" width="20.42578125" style="798" customWidth="1"/>
    <col min="14595" max="14596" width="19.7109375" style="798" customWidth="1"/>
    <col min="14597" max="14597" width="25.28515625" style="798" customWidth="1"/>
    <col min="14598" max="14598" width="26" style="798" customWidth="1"/>
    <col min="14599" max="14599" width="22.28515625" style="798" customWidth="1"/>
    <col min="14600" max="14600" width="24.85546875" style="798" customWidth="1"/>
    <col min="14601" max="14601" width="21.140625" style="798" customWidth="1"/>
    <col min="14602" max="14602" width="21.42578125" style="798" customWidth="1"/>
    <col min="14603" max="14603" width="27.85546875" style="798" customWidth="1"/>
    <col min="14604" max="14604" width="23.42578125" style="798" customWidth="1"/>
    <col min="14605" max="14605" width="21.42578125" style="798" customWidth="1"/>
    <col min="14606" max="14608" width="20.7109375" style="798" customWidth="1"/>
    <col min="14609" max="14609" width="32.28515625" style="798" bestFit="1" customWidth="1"/>
    <col min="14610" max="14610" width="20.7109375" style="798" customWidth="1"/>
    <col min="14611" max="14611" width="22" style="798" customWidth="1"/>
    <col min="14612" max="14615" width="21.28515625" style="798" customWidth="1"/>
    <col min="14616" max="14616" width="22.28515625" style="798" customWidth="1"/>
    <col min="14617" max="14618" width="11.42578125" style="798"/>
    <col min="14619" max="14619" width="14.85546875" style="798" bestFit="1" customWidth="1"/>
    <col min="14620" max="14844" width="11.42578125" style="798"/>
    <col min="14845" max="14845" width="34.42578125" style="798" customWidth="1"/>
    <col min="14846" max="14847" width="19.42578125" style="798" bestFit="1" customWidth="1"/>
    <col min="14848" max="14848" width="19.7109375" style="798" customWidth="1"/>
    <col min="14849" max="14850" width="20.42578125" style="798" customWidth="1"/>
    <col min="14851" max="14852" width="19.7109375" style="798" customWidth="1"/>
    <col min="14853" max="14853" width="25.28515625" style="798" customWidth="1"/>
    <col min="14854" max="14854" width="26" style="798" customWidth="1"/>
    <col min="14855" max="14855" width="22.28515625" style="798" customWidth="1"/>
    <col min="14856" max="14856" width="24.85546875" style="798" customWidth="1"/>
    <col min="14857" max="14857" width="21.140625" style="798" customWidth="1"/>
    <col min="14858" max="14858" width="21.42578125" style="798" customWidth="1"/>
    <col min="14859" max="14859" width="27.85546875" style="798" customWidth="1"/>
    <col min="14860" max="14860" width="23.42578125" style="798" customWidth="1"/>
    <col min="14861" max="14861" width="21.42578125" style="798" customWidth="1"/>
    <col min="14862" max="14864" width="20.7109375" style="798" customWidth="1"/>
    <col min="14865" max="14865" width="32.28515625" style="798" bestFit="1" customWidth="1"/>
    <col min="14866" max="14866" width="20.7109375" style="798" customWidth="1"/>
    <col min="14867" max="14867" width="22" style="798" customWidth="1"/>
    <col min="14868" max="14871" width="21.28515625" style="798" customWidth="1"/>
    <col min="14872" max="14872" width="22.28515625" style="798" customWidth="1"/>
    <col min="14873" max="14874" width="11.42578125" style="798"/>
    <col min="14875" max="14875" width="14.85546875" style="798" bestFit="1" customWidth="1"/>
    <col min="14876" max="15100" width="11.42578125" style="798"/>
    <col min="15101" max="15101" width="34.42578125" style="798" customWidth="1"/>
    <col min="15102" max="15103" width="19.42578125" style="798" bestFit="1" customWidth="1"/>
    <col min="15104" max="15104" width="19.7109375" style="798" customWidth="1"/>
    <col min="15105" max="15106" width="20.42578125" style="798" customWidth="1"/>
    <col min="15107" max="15108" width="19.7109375" style="798" customWidth="1"/>
    <col min="15109" max="15109" width="25.28515625" style="798" customWidth="1"/>
    <col min="15110" max="15110" width="26" style="798" customWidth="1"/>
    <col min="15111" max="15111" width="22.28515625" style="798" customWidth="1"/>
    <col min="15112" max="15112" width="24.85546875" style="798" customWidth="1"/>
    <col min="15113" max="15113" width="21.140625" style="798" customWidth="1"/>
    <col min="15114" max="15114" width="21.42578125" style="798" customWidth="1"/>
    <col min="15115" max="15115" width="27.85546875" style="798" customWidth="1"/>
    <col min="15116" max="15116" width="23.42578125" style="798" customWidth="1"/>
    <col min="15117" max="15117" width="21.42578125" style="798" customWidth="1"/>
    <col min="15118" max="15120" width="20.7109375" style="798" customWidth="1"/>
    <col min="15121" max="15121" width="32.28515625" style="798" bestFit="1" customWidth="1"/>
    <col min="15122" max="15122" width="20.7109375" style="798" customWidth="1"/>
    <col min="15123" max="15123" width="22" style="798" customWidth="1"/>
    <col min="15124" max="15127" width="21.28515625" style="798" customWidth="1"/>
    <col min="15128" max="15128" width="22.28515625" style="798" customWidth="1"/>
    <col min="15129" max="15130" width="11.42578125" style="798"/>
    <col min="15131" max="15131" width="14.85546875" style="798" bestFit="1" customWidth="1"/>
    <col min="15132" max="15356" width="11.42578125" style="798"/>
    <col min="15357" max="15357" width="34.42578125" style="798" customWidth="1"/>
    <col min="15358" max="15359" width="19.42578125" style="798" bestFit="1" customWidth="1"/>
    <col min="15360" max="15360" width="19.7109375" style="798" customWidth="1"/>
    <col min="15361" max="15362" width="20.42578125" style="798" customWidth="1"/>
    <col min="15363" max="15364" width="19.7109375" style="798" customWidth="1"/>
    <col min="15365" max="15365" width="25.28515625" style="798" customWidth="1"/>
    <col min="15366" max="15366" width="26" style="798" customWidth="1"/>
    <col min="15367" max="15367" width="22.28515625" style="798" customWidth="1"/>
    <col min="15368" max="15368" width="24.85546875" style="798" customWidth="1"/>
    <col min="15369" max="15369" width="21.140625" style="798" customWidth="1"/>
    <col min="15370" max="15370" width="21.42578125" style="798" customWidth="1"/>
    <col min="15371" max="15371" width="27.85546875" style="798" customWidth="1"/>
    <col min="15372" max="15372" width="23.42578125" style="798" customWidth="1"/>
    <col min="15373" max="15373" width="21.42578125" style="798" customWidth="1"/>
    <col min="15374" max="15376" width="20.7109375" style="798" customWidth="1"/>
    <col min="15377" max="15377" width="32.28515625" style="798" bestFit="1" customWidth="1"/>
    <col min="15378" max="15378" width="20.7109375" style="798" customWidth="1"/>
    <col min="15379" max="15379" width="22" style="798" customWidth="1"/>
    <col min="15380" max="15383" width="21.28515625" style="798" customWidth="1"/>
    <col min="15384" max="15384" width="22.28515625" style="798" customWidth="1"/>
    <col min="15385" max="15386" width="11.42578125" style="798"/>
    <col min="15387" max="15387" width="14.85546875" style="798" bestFit="1" customWidth="1"/>
    <col min="15388" max="15612" width="11.42578125" style="798"/>
    <col min="15613" max="15613" width="34.42578125" style="798" customWidth="1"/>
    <col min="15614" max="15615" width="19.42578125" style="798" bestFit="1" customWidth="1"/>
    <col min="15616" max="15616" width="19.7109375" style="798" customWidth="1"/>
    <col min="15617" max="15618" width="20.42578125" style="798" customWidth="1"/>
    <col min="15619" max="15620" width="19.7109375" style="798" customWidth="1"/>
    <col min="15621" max="15621" width="25.28515625" style="798" customWidth="1"/>
    <col min="15622" max="15622" width="26" style="798" customWidth="1"/>
    <col min="15623" max="15623" width="22.28515625" style="798" customWidth="1"/>
    <col min="15624" max="15624" width="24.85546875" style="798" customWidth="1"/>
    <col min="15625" max="15625" width="21.140625" style="798" customWidth="1"/>
    <col min="15626" max="15626" width="21.42578125" style="798" customWidth="1"/>
    <col min="15627" max="15627" width="27.85546875" style="798" customWidth="1"/>
    <col min="15628" max="15628" width="23.42578125" style="798" customWidth="1"/>
    <col min="15629" max="15629" width="21.42578125" style="798" customWidth="1"/>
    <col min="15630" max="15632" width="20.7109375" style="798" customWidth="1"/>
    <col min="15633" max="15633" width="32.28515625" style="798" bestFit="1" customWidth="1"/>
    <col min="15634" max="15634" width="20.7109375" style="798" customWidth="1"/>
    <col min="15635" max="15635" width="22" style="798" customWidth="1"/>
    <col min="15636" max="15639" width="21.28515625" style="798" customWidth="1"/>
    <col min="15640" max="15640" width="22.28515625" style="798" customWidth="1"/>
    <col min="15641" max="15642" width="11.42578125" style="798"/>
    <col min="15643" max="15643" width="14.85546875" style="798" bestFit="1" customWidth="1"/>
    <col min="15644" max="15868" width="11.42578125" style="798"/>
    <col min="15869" max="15869" width="34.42578125" style="798" customWidth="1"/>
    <col min="15870" max="15871" width="19.42578125" style="798" bestFit="1" customWidth="1"/>
    <col min="15872" max="15872" width="19.7109375" style="798" customWidth="1"/>
    <col min="15873" max="15874" width="20.42578125" style="798" customWidth="1"/>
    <col min="15875" max="15876" width="19.7109375" style="798" customWidth="1"/>
    <col min="15877" max="15877" width="25.28515625" style="798" customWidth="1"/>
    <col min="15878" max="15878" width="26" style="798" customWidth="1"/>
    <col min="15879" max="15879" width="22.28515625" style="798" customWidth="1"/>
    <col min="15880" max="15880" width="24.85546875" style="798" customWidth="1"/>
    <col min="15881" max="15881" width="21.140625" style="798" customWidth="1"/>
    <col min="15882" max="15882" width="21.42578125" style="798" customWidth="1"/>
    <col min="15883" max="15883" width="27.85546875" style="798" customWidth="1"/>
    <col min="15884" max="15884" width="23.42578125" style="798" customWidth="1"/>
    <col min="15885" max="15885" width="21.42578125" style="798" customWidth="1"/>
    <col min="15886" max="15888" width="20.7109375" style="798" customWidth="1"/>
    <col min="15889" max="15889" width="32.28515625" style="798" bestFit="1" customWidth="1"/>
    <col min="15890" max="15890" width="20.7109375" style="798" customWidth="1"/>
    <col min="15891" max="15891" width="22" style="798" customWidth="1"/>
    <col min="15892" max="15895" width="21.28515625" style="798" customWidth="1"/>
    <col min="15896" max="15896" width="22.28515625" style="798" customWidth="1"/>
    <col min="15897" max="15898" width="11.42578125" style="798"/>
    <col min="15899" max="15899" width="14.85546875" style="798" bestFit="1" customWidth="1"/>
    <col min="15900" max="16124" width="11.42578125" style="798"/>
    <col min="16125" max="16125" width="34.42578125" style="798" customWidth="1"/>
    <col min="16126" max="16127" width="19.42578125" style="798" bestFit="1" customWidth="1"/>
    <col min="16128" max="16128" width="19.7109375" style="798" customWidth="1"/>
    <col min="16129" max="16130" width="20.42578125" style="798" customWidth="1"/>
    <col min="16131" max="16132" width="19.7109375" style="798" customWidth="1"/>
    <col min="16133" max="16133" width="25.28515625" style="798" customWidth="1"/>
    <col min="16134" max="16134" width="26" style="798" customWidth="1"/>
    <col min="16135" max="16135" width="22.28515625" style="798" customWidth="1"/>
    <col min="16136" max="16136" width="24.85546875" style="798" customWidth="1"/>
    <col min="16137" max="16137" width="21.140625" style="798" customWidth="1"/>
    <col min="16138" max="16138" width="21.42578125" style="798" customWidth="1"/>
    <col min="16139" max="16139" width="27.85546875" style="798" customWidth="1"/>
    <col min="16140" max="16140" width="23.42578125" style="798" customWidth="1"/>
    <col min="16141" max="16141" width="21.42578125" style="798" customWidth="1"/>
    <col min="16142" max="16144" width="20.7109375" style="798" customWidth="1"/>
    <col min="16145" max="16145" width="32.28515625" style="798" bestFit="1" customWidth="1"/>
    <col min="16146" max="16146" width="20.7109375" style="798" customWidth="1"/>
    <col min="16147" max="16147" width="22" style="798" customWidth="1"/>
    <col min="16148" max="16151" width="21.28515625" style="798" customWidth="1"/>
    <col min="16152" max="16152" width="22.28515625" style="798" customWidth="1"/>
    <col min="16153" max="16154" width="11.42578125" style="798"/>
    <col min="16155" max="16155" width="14.85546875" style="798" bestFit="1" customWidth="1"/>
    <col min="16156" max="16384" width="11.42578125" style="798"/>
  </cols>
  <sheetData>
    <row r="1" spans="1:25" s="779" customFormat="1" x14ac:dyDescent="0.25">
      <c r="A1" s="776" t="s">
        <v>134</v>
      </c>
      <c r="L1" s="919" t="s">
        <v>0</v>
      </c>
      <c r="M1" s="919"/>
      <c r="N1" s="919"/>
      <c r="O1" s="780"/>
      <c r="P1" s="780"/>
      <c r="Q1" s="780"/>
      <c r="R1" s="780"/>
      <c r="S1" s="780"/>
      <c r="T1" s="780"/>
      <c r="U1" s="780"/>
      <c r="V1" s="780"/>
      <c r="W1" s="780"/>
      <c r="X1" s="780"/>
      <c r="Y1" s="780"/>
    </row>
    <row r="2" spans="1:25" s="779" customFormat="1" x14ac:dyDescent="0.25">
      <c r="A2" s="777">
        <f>COUNTA(A8:A14) - MATCH(A3,A8:A14,0)+1</f>
        <v>6</v>
      </c>
      <c r="L2" s="780" t="s">
        <v>1</v>
      </c>
      <c r="M2" s="780"/>
      <c r="N2" s="780"/>
      <c r="O2" s="781"/>
      <c r="P2" s="1072" t="s">
        <v>2</v>
      </c>
      <c r="Q2" s="1072"/>
      <c r="R2" s="1072"/>
      <c r="S2" s="781"/>
      <c r="T2" s="781" t="s">
        <v>3</v>
      </c>
      <c r="U2" s="1072" t="s">
        <v>55</v>
      </c>
      <c r="V2" s="1072"/>
      <c r="X2" s="781"/>
      <c r="Y2" s="781"/>
    </row>
    <row r="3" spans="1:25" s="779" customFormat="1" ht="15.75" thickBot="1" x14ac:dyDescent="0.3">
      <c r="A3" s="778" t="s">
        <v>24</v>
      </c>
      <c r="L3" s="780" t="s">
        <v>4</v>
      </c>
      <c r="M3" s="780"/>
      <c r="N3" s="780"/>
      <c r="O3" s="781"/>
      <c r="P3" s="1009">
        <v>2</v>
      </c>
      <c r="Q3" s="781"/>
      <c r="R3" s="781"/>
      <c r="S3" s="781" t="s">
        <v>6</v>
      </c>
      <c r="T3" s="1081">
        <v>45805</v>
      </c>
      <c r="U3" s="1081"/>
      <c r="V3" s="1081">
        <f>T3+6</f>
        <v>45811</v>
      </c>
      <c r="W3" s="1081"/>
      <c r="X3" s="783"/>
      <c r="Y3" s="781"/>
    </row>
    <row r="4" spans="1:25" s="779" customFormat="1" ht="15.75" thickBot="1" x14ac:dyDescent="0.3">
      <c r="L4" s="780"/>
      <c r="M4" s="780"/>
      <c r="N4" s="780"/>
      <c r="O4" s="781"/>
      <c r="P4" s="920"/>
      <c r="Q4" s="781"/>
      <c r="R4" s="781"/>
      <c r="S4" s="781"/>
      <c r="T4" s="1010"/>
      <c r="U4" s="1010"/>
      <c r="V4" s="1010"/>
      <c r="W4" s="1010"/>
      <c r="X4" s="783"/>
      <c r="Y4" s="781"/>
    </row>
    <row r="5" spans="1:25" s="779" customFormat="1" ht="15.75" thickBot="1" x14ac:dyDescent="0.3">
      <c r="A5" s="784" t="s">
        <v>7</v>
      </c>
      <c r="B5" s="1073" t="s">
        <v>113</v>
      </c>
      <c r="C5" s="1074"/>
      <c r="D5" s="1074"/>
      <c r="E5" s="1074"/>
      <c r="F5" s="1074"/>
      <c r="G5" s="1074"/>
      <c r="H5" s="1074"/>
      <c r="I5" s="1075" t="s">
        <v>63</v>
      </c>
      <c r="J5" s="1076"/>
      <c r="K5" s="1076"/>
      <c r="L5" s="1076"/>
      <c r="M5" s="1076"/>
      <c r="N5" s="1076"/>
      <c r="O5" s="1077"/>
      <c r="P5" s="1078" t="s">
        <v>8</v>
      </c>
      <c r="Q5" s="1079"/>
      <c r="R5" s="1079"/>
      <c r="S5" s="1079"/>
      <c r="T5" s="1079"/>
      <c r="U5" s="1079"/>
      <c r="V5" s="1080"/>
      <c r="W5" s="785"/>
      <c r="Y5" s="786" t="s">
        <v>130</v>
      </c>
    </row>
    <row r="6" spans="1:25" ht="15.75" thickBot="1" x14ac:dyDescent="0.3">
      <c r="A6" s="967" t="s">
        <v>10</v>
      </c>
      <c r="B6" s="794">
        <v>1</v>
      </c>
      <c r="C6" s="795">
        <v>2</v>
      </c>
      <c r="D6" s="795">
        <v>3</v>
      </c>
      <c r="E6" s="795">
        <v>4</v>
      </c>
      <c r="F6" s="795">
        <v>5</v>
      </c>
      <c r="G6" s="795">
        <v>6</v>
      </c>
      <c r="H6" s="796">
        <v>7</v>
      </c>
      <c r="I6" s="794">
        <v>1</v>
      </c>
      <c r="J6" s="795">
        <v>2</v>
      </c>
      <c r="K6" s="795">
        <v>3</v>
      </c>
      <c r="L6" s="795">
        <v>4</v>
      </c>
      <c r="M6" s="795">
        <v>5</v>
      </c>
      <c r="N6" s="795">
        <v>6</v>
      </c>
      <c r="O6" s="796">
        <v>7</v>
      </c>
      <c r="P6" s="794">
        <v>1</v>
      </c>
      <c r="Q6" s="795">
        <v>2</v>
      </c>
      <c r="R6" s="795">
        <v>3</v>
      </c>
      <c r="S6" s="795">
        <v>4</v>
      </c>
      <c r="T6" s="795">
        <v>5</v>
      </c>
      <c r="U6" s="795">
        <v>6</v>
      </c>
      <c r="V6" s="796">
        <v>7</v>
      </c>
      <c r="W6" s="968" t="s">
        <v>9</v>
      </c>
      <c r="Y6" s="799" t="s">
        <v>131</v>
      </c>
    </row>
    <row r="7" spans="1:25" ht="15.75" thickBot="1" x14ac:dyDescent="0.3">
      <c r="A7" s="982" t="s">
        <v>136</v>
      </c>
      <c r="B7" s="975">
        <v>83.7</v>
      </c>
      <c r="C7" s="976">
        <v>82.7</v>
      </c>
      <c r="D7" s="977">
        <v>82.7</v>
      </c>
      <c r="E7" s="977">
        <v>13.2</v>
      </c>
      <c r="F7" s="976">
        <v>85</v>
      </c>
      <c r="G7" s="976">
        <v>82.9</v>
      </c>
      <c r="H7" s="981">
        <v>83.7</v>
      </c>
      <c r="I7" s="979">
        <v>87.1</v>
      </c>
      <c r="J7" s="976">
        <v>88.6</v>
      </c>
      <c r="K7" s="977">
        <v>90.9</v>
      </c>
      <c r="L7" s="977">
        <v>15.8</v>
      </c>
      <c r="M7" s="977">
        <v>89.4</v>
      </c>
      <c r="N7" s="976">
        <v>89.1</v>
      </c>
      <c r="O7" s="976">
        <v>90.2</v>
      </c>
      <c r="P7" s="975">
        <v>89.9</v>
      </c>
      <c r="Q7" s="977">
        <v>88.4</v>
      </c>
      <c r="R7" s="976">
        <v>88.3</v>
      </c>
      <c r="S7" s="976">
        <v>18.3</v>
      </c>
      <c r="T7" s="976">
        <v>89.3</v>
      </c>
      <c r="U7" s="977">
        <v>88.8</v>
      </c>
      <c r="V7" s="981">
        <v>89.7</v>
      </c>
      <c r="W7" s="1012">
        <f t="shared" ref="W7:W14" si="0">SUM(B7:V7)</f>
        <v>1617.7</v>
      </c>
      <c r="Y7" s="807">
        <v>1</v>
      </c>
    </row>
    <row r="8" spans="1:25" x14ac:dyDescent="0.25">
      <c r="A8" s="969" t="s">
        <v>51</v>
      </c>
      <c r="B8" s="970">
        <v>83.7</v>
      </c>
      <c r="C8" s="971">
        <v>82.7</v>
      </c>
      <c r="D8" s="971">
        <v>82.6</v>
      </c>
      <c r="E8" s="971">
        <v>13.1</v>
      </c>
      <c r="F8" s="971">
        <v>85</v>
      </c>
      <c r="G8" s="971">
        <v>82.9</v>
      </c>
      <c r="H8" s="974">
        <v>83.7</v>
      </c>
      <c r="I8" s="973">
        <v>87.1</v>
      </c>
      <c r="J8" s="971">
        <v>88.6</v>
      </c>
      <c r="K8" s="971">
        <v>90.8</v>
      </c>
      <c r="L8" s="971">
        <v>15.7</v>
      </c>
      <c r="M8" s="971">
        <v>89.3</v>
      </c>
      <c r="N8" s="971">
        <v>89.1</v>
      </c>
      <c r="O8" s="971">
        <v>90.2</v>
      </c>
      <c r="P8" s="970">
        <v>89.9</v>
      </c>
      <c r="Q8" s="971">
        <v>88.3</v>
      </c>
      <c r="R8" s="971">
        <v>88.3</v>
      </c>
      <c r="S8" s="971">
        <v>18.3</v>
      </c>
      <c r="T8" s="971">
        <v>89.3</v>
      </c>
      <c r="U8" s="971">
        <v>88.7</v>
      </c>
      <c r="V8" s="974">
        <v>89.7</v>
      </c>
      <c r="W8" s="1011">
        <f t="shared" si="0"/>
        <v>1617</v>
      </c>
      <c r="X8" s="815">
        <f>W8-W7</f>
        <v>-0.70000000000004547</v>
      </c>
      <c r="Y8" s="816">
        <v>2</v>
      </c>
    </row>
    <row r="9" spans="1:25" x14ac:dyDescent="0.25">
      <c r="A9" s="808" t="s">
        <v>24</v>
      </c>
      <c r="B9" s="924">
        <v>83.5</v>
      </c>
      <c r="C9" s="925">
        <v>82.3</v>
      </c>
      <c r="D9" s="925">
        <v>82.7</v>
      </c>
      <c r="E9" s="925">
        <v>12.5</v>
      </c>
      <c r="F9" s="925">
        <v>84.9</v>
      </c>
      <c r="G9" s="925">
        <v>82.7</v>
      </c>
      <c r="H9" s="926">
        <v>83.3</v>
      </c>
      <c r="I9" s="927">
        <v>86.7</v>
      </c>
      <c r="J9" s="925">
        <v>88.4</v>
      </c>
      <c r="K9" s="925">
        <v>90.8</v>
      </c>
      <c r="L9" s="925">
        <v>15.5</v>
      </c>
      <c r="M9" s="925">
        <v>89.5</v>
      </c>
      <c r="N9" s="925">
        <v>88.7</v>
      </c>
      <c r="O9" s="925">
        <v>90.3</v>
      </c>
      <c r="P9" s="924">
        <v>89.9</v>
      </c>
      <c r="Q9" s="925">
        <v>88.2</v>
      </c>
      <c r="R9" s="925">
        <v>88.2</v>
      </c>
      <c r="S9" s="925">
        <v>18.3</v>
      </c>
      <c r="T9" s="925">
        <v>89</v>
      </c>
      <c r="U9" s="925">
        <v>88.3</v>
      </c>
      <c r="V9" s="926">
        <v>89.5</v>
      </c>
      <c r="W9" s="817">
        <f t="shared" si="0"/>
        <v>1613.2</v>
      </c>
      <c r="X9" s="815">
        <f>W9-W8</f>
        <v>-3.7999999999999545</v>
      </c>
      <c r="Y9" s="818">
        <v>3</v>
      </c>
    </row>
    <row r="10" spans="1:25" x14ac:dyDescent="0.25">
      <c r="A10" s="808" t="s">
        <v>20</v>
      </c>
      <c r="B10" s="924"/>
      <c r="C10" s="925"/>
      <c r="D10" s="925"/>
      <c r="E10" s="925"/>
      <c r="F10" s="925"/>
      <c r="G10" s="925"/>
      <c r="H10" s="926"/>
      <c r="I10" s="927"/>
      <c r="J10" s="925"/>
      <c r="K10" s="925"/>
      <c r="L10" s="925"/>
      <c r="M10" s="925"/>
      <c r="N10" s="925"/>
      <c r="O10" s="925"/>
      <c r="P10" s="924"/>
      <c r="Q10" s="925"/>
      <c r="R10" s="925"/>
      <c r="S10" s="925"/>
      <c r="T10" s="925"/>
      <c r="U10" s="925"/>
      <c r="V10" s="926"/>
      <c r="W10" s="817">
        <f t="shared" si="0"/>
        <v>0</v>
      </c>
      <c r="X10" s="815">
        <f t="shared" ref="X10:X14" si="1">W10-W9</f>
        <v>-1613.2</v>
      </c>
      <c r="Y10" s="819">
        <v>4</v>
      </c>
    </row>
    <row r="11" spans="1:25" x14ac:dyDescent="0.25">
      <c r="A11" s="820" t="s">
        <v>28</v>
      </c>
      <c r="B11" s="924"/>
      <c r="C11" s="925"/>
      <c r="D11" s="925"/>
      <c r="E11" s="925"/>
      <c r="F11" s="925"/>
      <c r="G11" s="925"/>
      <c r="H11" s="926"/>
      <c r="I11" s="927"/>
      <c r="J11" s="925"/>
      <c r="K11" s="925"/>
      <c r="L11" s="925"/>
      <c r="M11" s="925"/>
      <c r="N11" s="925"/>
      <c r="O11" s="925"/>
      <c r="P11" s="924"/>
      <c r="Q11" s="925"/>
      <c r="R11" s="925"/>
      <c r="S11" s="925"/>
      <c r="T11" s="925"/>
      <c r="U11" s="925"/>
      <c r="V11" s="926"/>
      <c r="W11" s="817">
        <f t="shared" si="0"/>
        <v>0</v>
      </c>
      <c r="X11" s="815">
        <f t="shared" si="1"/>
        <v>0</v>
      </c>
      <c r="Y11" s="821">
        <v>5</v>
      </c>
    </row>
    <row r="12" spans="1:25" x14ac:dyDescent="0.25">
      <c r="A12" s="808" t="s">
        <v>21</v>
      </c>
      <c r="B12" s="924"/>
      <c r="C12" s="925"/>
      <c r="D12" s="925"/>
      <c r="E12" s="925"/>
      <c r="F12" s="925"/>
      <c r="G12" s="925"/>
      <c r="H12" s="926"/>
      <c r="I12" s="927"/>
      <c r="J12" s="925"/>
      <c r="K12" s="925"/>
      <c r="L12" s="925"/>
      <c r="M12" s="925"/>
      <c r="N12" s="925"/>
      <c r="O12" s="925"/>
      <c r="P12" s="924"/>
      <c r="Q12" s="925"/>
      <c r="R12" s="925"/>
      <c r="S12" s="925"/>
      <c r="T12" s="925"/>
      <c r="U12" s="925"/>
      <c r="V12" s="926"/>
      <c r="W12" s="817">
        <f t="shared" si="0"/>
        <v>0</v>
      </c>
      <c r="X12" s="815">
        <f t="shared" si="1"/>
        <v>0</v>
      </c>
      <c r="Y12" s="822">
        <v>6</v>
      </c>
    </row>
    <row r="13" spans="1:25" x14ac:dyDescent="0.25">
      <c r="A13" s="808" t="s">
        <v>22</v>
      </c>
      <c r="B13" s="924"/>
      <c r="C13" s="925"/>
      <c r="D13" s="925"/>
      <c r="E13" s="925"/>
      <c r="F13" s="925"/>
      <c r="G13" s="925"/>
      <c r="H13" s="926"/>
      <c r="I13" s="927"/>
      <c r="J13" s="925"/>
      <c r="K13" s="925"/>
      <c r="L13" s="925"/>
      <c r="M13" s="925"/>
      <c r="N13" s="925"/>
      <c r="O13" s="925"/>
      <c r="P13" s="924"/>
      <c r="Q13" s="925"/>
      <c r="R13" s="925"/>
      <c r="S13" s="925"/>
      <c r="T13" s="925"/>
      <c r="U13" s="925"/>
      <c r="V13" s="926"/>
      <c r="W13" s="817">
        <f t="shared" si="0"/>
        <v>0</v>
      </c>
      <c r="X13" s="815">
        <f t="shared" si="1"/>
        <v>0</v>
      </c>
      <c r="Y13" s="823">
        <v>7</v>
      </c>
    </row>
    <row r="14" spans="1:25" ht="15.75" thickBot="1" x14ac:dyDescent="0.3">
      <c r="A14" s="808" t="s">
        <v>23</v>
      </c>
      <c r="B14" s="924"/>
      <c r="C14" s="925"/>
      <c r="D14" s="925"/>
      <c r="E14" s="925"/>
      <c r="F14" s="925"/>
      <c r="G14" s="925"/>
      <c r="H14" s="926"/>
      <c r="I14" s="927"/>
      <c r="J14" s="925"/>
      <c r="K14" s="925"/>
      <c r="L14" s="925"/>
      <c r="M14" s="925"/>
      <c r="N14" s="925"/>
      <c r="O14" s="925"/>
      <c r="P14" s="924"/>
      <c r="Q14" s="925"/>
      <c r="R14" s="925"/>
      <c r="S14" s="925"/>
      <c r="T14" s="925"/>
      <c r="U14" s="925"/>
      <c r="V14" s="926"/>
      <c r="W14" s="817">
        <f t="shared" si="0"/>
        <v>0</v>
      </c>
      <c r="X14" s="815">
        <f t="shared" si="1"/>
        <v>0</v>
      </c>
    </row>
    <row r="15" spans="1:25" x14ac:dyDescent="0.25">
      <c r="A15" s="800" t="s">
        <v>9</v>
      </c>
      <c r="B15" s="824">
        <f>SUM(B8:B14)</f>
        <v>167.2</v>
      </c>
      <c r="C15" s="825">
        <f>SUM(C8:C14)</f>
        <v>165</v>
      </c>
      <c r="D15" s="825">
        <f t="shared" ref="D15:V15" si="2">SUM(D8:D14)</f>
        <v>165.3</v>
      </c>
      <c r="E15" s="825">
        <f>SUM(E8:E14)</f>
        <v>25.6</v>
      </c>
      <c r="F15" s="825">
        <f t="shared" si="2"/>
        <v>169.9</v>
      </c>
      <c r="G15" s="825">
        <f t="shared" si="2"/>
        <v>165.60000000000002</v>
      </c>
      <c r="H15" s="826">
        <f t="shared" si="2"/>
        <v>167</v>
      </c>
      <c r="I15" s="824">
        <f t="shared" si="2"/>
        <v>173.8</v>
      </c>
      <c r="J15" s="825">
        <f t="shared" si="2"/>
        <v>177</v>
      </c>
      <c r="K15" s="825">
        <f t="shared" si="2"/>
        <v>181.6</v>
      </c>
      <c r="L15" s="825">
        <f t="shared" si="2"/>
        <v>31.2</v>
      </c>
      <c r="M15" s="825">
        <f t="shared" si="2"/>
        <v>178.8</v>
      </c>
      <c r="N15" s="825">
        <f t="shared" si="2"/>
        <v>177.8</v>
      </c>
      <c r="O15" s="826">
        <f t="shared" si="2"/>
        <v>180.5</v>
      </c>
      <c r="P15" s="824">
        <f t="shared" si="2"/>
        <v>179.8</v>
      </c>
      <c r="Q15" s="825">
        <f t="shared" si="2"/>
        <v>176.5</v>
      </c>
      <c r="R15" s="825">
        <f t="shared" si="2"/>
        <v>176.5</v>
      </c>
      <c r="S15" s="825">
        <f>SUM(S8:S14)</f>
        <v>36.6</v>
      </c>
      <c r="T15" s="825">
        <f t="shared" si="2"/>
        <v>178.3</v>
      </c>
      <c r="U15" s="825">
        <f t="shared" si="2"/>
        <v>177</v>
      </c>
      <c r="V15" s="826">
        <f t="shared" si="2"/>
        <v>179.2</v>
      </c>
      <c r="W15" s="827">
        <f>SUM(W8:W14)</f>
        <v>3230.2</v>
      </c>
    </row>
    <row r="16" spans="1:25" s="779" customFormat="1" ht="14.25" x14ac:dyDescent="0.25">
      <c r="A16" s="828" t="s">
        <v>11</v>
      </c>
      <c r="B16" s="829">
        <v>153.9399999999998</v>
      </c>
      <c r="C16" s="830">
        <v>153.9399999999998</v>
      </c>
      <c r="D16" s="830">
        <v>153.9399999999998</v>
      </c>
      <c r="E16" s="830">
        <v>153.9399999999998</v>
      </c>
      <c r="F16" s="830">
        <v>153.9399999999998</v>
      </c>
      <c r="G16" s="830">
        <v>153.9399999999998</v>
      </c>
      <c r="H16" s="831">
        <v>153.9399999999998</v>
      </c>
      <c r="I16" s="829">
        <v>153.9399999999998</v>
      </c>
      <c r="J16" s="830">
        <v>153.9399999999998</v>
      </c>
      <c r="K16" s="830">
        <v>153.9399999999998</v>
      </c>
      <c r="L16" s="830">
        <v>153.9399999999998</v>
      </c>
      <c r="M16" s="830">
        <v>153.9399999999998</v>
      </c>
      <c r="N16" s="830">
        <v>153.9399999999998</v>
      </c>
      <c r="O16" s="831">
        <v>153.9399999999998</v>
      </c>
      <c r="P16" s="829">
        <v>153.9399999999998</v>
      </c>
      <c r="Q16" s="830">
        <v>153.9399999999998</v>
      </c>
      <c r="R16" s="830">
        <v>153.9399999999998</v>
      </c>
      <c r="S16" s="830">
        <v>153.9399999999998</v>
      </c>
      <c r="T16" s="830">
        <v>153.9399999999998</v>
      </c>
      <c r="U16" s="830">
        <v>153.9399999999998</v>
      </c>
      <c r="V16" s="831">
        <v>153.9399999999998</v>
      </c>
      <c r="W16" s="832">
        <f>((W15/W17)/7)*1000</f>
        <v>43.977617731548925</v>
      </c>
    </row>
    <row r="17" spans="1:24" s="779" customFormat="1" ht="14.25" x14ac:dyDescent="0.25">
      <c r="A17" s="833" t="s">
        <v>12</v>
      </c>
      <c r="B17" s="834">
        <v>543</v>
      </c>
      <c r="C17" s="835">
        <v>536</v>
      </c>
      <c r="D17" s="835">
        <v>537</v>
      </c>
      <c r="E17" s="835">
        <v>83</v>
      </c>
      <c r="F17" s="835">
        <v>552</v>
      </c>
      <c r="G17" s="835">
        <v>538</v>
      </c>
      <c r="H17" s="836">
        <v>543</v>
      </c>
      <c r="I17" s="834">
        <v>565</v>
      </c>
      <c r="J17" s="835">
        <v>575</v>
      </c>
      <c r="K17" s="835">
        <v>590</v>
      </c>
      <c r="L17" s="835">
        <v>102</v>
      </c>
      <c r="M17" s="835">
        <v>581</v>
      </c>
      <c r="N17" s="835">
        <v>577</v>
      </c>
      <c r="O17" s="836">
        <v>586</v>
      </c>
      <c r="P17" s="834">
        <v>584</v>
      </c>
      <c r="Q17" s="835">
        <v>573</v>
      </c>
      <c r="R17" s="835">
        <v>573</v>
      </c>
      <c r="S17" s="835">
        <v>119</v>
      </c>
      <c r="T17" s="835">
        <v>579</v>
      </c>
      <c r="U17" s="835">
        <v>575</v>
      </c>
      <c r="V17" s="836">
        <v>582</v>
      </c>
      <c r="W17" s="837">
        <f>SUM(B17:V17)</f>
        <v>10493</v>
      </c>
    </row>
    <row r="18" spans="1:24" s="779" customFormat="1" ht="14.25" x14ac:dyDescent="0.25">
      <c r="A18" s="838" t="s">
        <v>13</v>
      </c>
      <c r="B18" s="839">
        <f>((((B16*7)*B17)/1000-B8)/6)</f>
        <v>83.570989999999867</v>
      </c>
      <c r="C18" s="842">
        <f t="shared" ref="C18:V18" si="3">((((C16*7)*C17)/1000-C8)/6)</f>
        <v>82.480479999999858</v>
      </c>
      <c r="D18" s="842">
        <f t="shared" si="3"/>
        <v>82.676743333333206</v>
      </c>
      <c r="E18" s="842">
        <f t="shared" si="3"/>
        <v>12.723189999999981</v>
      </c>
      <c r="F18" s="842">
        <f t="shared" si="3"/>
        <v>84.970693333333202</v>
      </c>
      <c r="G18" s="842">
        <f t="shared" si="3"/>
        <v>82.806339999999878</v>
      </c>
      <c r="H18" s="843">
        <f t="shared" si="3"/>
        <v>83.570989999999867</v>
      </c>
      <c r="I18" s="839">
        <f t="shared" si="3"/>
        <v>86.955449999999857</v>
      </c>
      <c r="J18" s="842">
        <f t="shared" si="3"/>
        <v>88.501416666666515</v>
      </c>
      <c r="K18" s="842">
        <f t="shared" si="3"/>
        <v>90.828699999999856</v>
      </c>
      <c r="L18" s="842">
        <f t="shared" si="3"/>
        <v>15.702193333333311</v>
      </c>
      <c r="M18" s="842">
        <f t="shared" si="3"/>
        <v>89.462329999999881</v>
      </c>
      <c r="N18" s="842">
        <f t="shared" si="3"/>
        <v>88.777276666666523</v>
      </c>
      <c r="O18" s="843">
        <f t="shared" si="3"/>
        <v>90.21031333333319</v>
      </c>
      <c r="P18" s="839">
        <f t="shared" si="3"/>
        <v>89.901119999999864</v>
      </c>
      <c r="Q18" s="842">
        <f t="shared" si="3"/>
        <v>88.192223333333189</v>
      </c>
      <c r="R18" s="842">
        <f t="shared" si="3"/>
        <v>88.192223333333189</v>
      </c>
      <c r="S18" s="842">
        <f t="shared" si="3"/>
        <v>18.322003333333306</v>
      </c>
      <c r="T18" s="842">
        <f t="shared" si="3"/>
        <v>89.103136666666543</v>
      </c>
      <c r="U18" s="842">
        <f t="shared" si="3"/>
        <v>88.484749999999849</v>
      </c>
      <c r="V18" s="843">
        <f t="shared" si="3"/>
        <v>89.575259999999844</v>
      </c>
      <c r="W18" s="840">
        <f>((W15*1000)/7)/W17</f>
        <v>43.977617731548925</v>
      </c>
    </row>
    <row r="19" spans="1:24" x14ac:dyDescent="0.25">
      <c r="A19" s="841" t="s">
        <v>14</v>
      </c>
      <c r="B19" s="839">
        <f>((B17*B16)*7)/1000</f>
        <v>585.12593999999922</v>
      </c>
      <c r="C19" s="842">
        <f>((C17*C16)*7)/1000</f>
        <v>577.58287999999925</v>
      </c>
      <c r="D19" s="842">
        <f t="shared" ref="D19:V19" si="4">((D17*D16)*7)/1000</f>
        <v>578.66045999999926</v>
      </c>
      <c r="E19" s="842">
        <f t="shared" si="4"/>
        <v>89.439139999999881</v>
      </c>
      <c r="F19" s="842">
        <f t="shared" si="4"/>
        <v>594.82415999999921</v>
      </c>
      <c r="G19" s="842">
        <f t="shared" si="4"/>
        <v>579.73803999999927</v>
      </c>
      <c r="H19" s="843">
        <f t="shared" si="4"/>
        <v>585.12593999999922</v>
      </c>
      <c r="I19" s="839">
        <f t="shared" si="4"/>
        <v>608.83269999999925</v>
      </c>
      <c r="J19" s="842">
        <f t="shared" si="4"/>
        <v>619.60849999999914</v>
      </c>
      <c r="K19" s="842">
        <f t="shared" si="4"/>
        <v>635.77219999999909</v>
      </c>
      <c r="L19" s="842">
        <f t="shared" si="4"/>
        <v>109.91315999999986</v>
      </c>
      <c r="M19" s="842">
        <f t="shared" si="4"/>
        <v>626.07397999999921</v>
      </c>
      <c r="N19" s="842">
        <f t="shared" si="4"/>
        <v>621.76365999999916</v>
      </c>
      <c r="O19" s="843">
        <f t="shared" si="4"/>
        <v>631.46187999999916</v>
      </c>
      <c r="P19" s="839">
        <f t="shared" si="4"/>
        <v>629.30671999999913</v>
      </c>
      <c r="Q19" s="842">
        <f t="shared" si="4"/>
        <v>617.45333999999912</v>
      </c>
      <c r="R19" s="842">
        <f t="shared" si="4"/>
        <v>617.45333999999912</v>
      </c>
      <c r="S19" s="842">
        <f t="shared" si="4"/>
        <v>128.23201999999984</v>
      </c>
      <c r="T19" s="842">
        <f t="shared" si="4"/>
        <v>623.91881999999919</v>
      </c>
      <c r="U19" s="842">
        <f t="shared" si="4"/>
        <v>619.60849999999914</v>
      </c>
      <c r="V19" s="843">
        <f t="shared" si="4"/>
        <v>627.15155999999922</v>
      </c>
      <c r="W19" s="844"/>
    </row>
    <row r="20" spans="1:24" ht="15.75" thickBot="1" x14ac:dyDescent="0.3">
      <c r="A20" s="845" t="s">
        <v>15</v>
      </c>
      <c r="B20" s="846">
        <f>+(B15/B17)/7*1000</f>
        <v>43.988424098921335</v>
      </c>
      <c r="C20" s="847">
        <f t="shared" ref="C20:V20" si="5">+(C15/C17)/7*1000</f>
        <v>43.976545842217483</v>
      </c>
      <c r="D20" s="847">
        <f t="shared" si="5"/>
        <v>43.974461292897054</v>
      </c>
      <c r="E20" s="847">
        <f t="shared" si="5"/>
        <v>44.061962134251296</v>
      </c>
      <c r="F20" s="847">
        <f t="shared" si="5"/>
        <v>43.969979296066256</v>
      </c>
      <c r="G20" s="847">
        <f t="shared" si="5"/>
        <v>43.972384492830592</v>
      </c>
      <c r="H20" s="848">
        <f t="shared" si="5"/>
        <v>43.935806366745595</v>
      </c>
      <c r="I20" s="846">
        <f t="shared" si="5"/>
        <v>43.944374209860932</v>
      </c>
      <c r="J20" s="847">
        <f t="shared" si="5"/>
        <v>43.975155279503113</v>
      </c>
      <c r="K20" s="847">
        <f t="shared" si="5"/>
        <v>43.970944309927361</v>
      </c>
      <c r="L20" s="847">
        <f t="shared" si="5"/>
        <v>43.697478991596633</v>
      </c>
      <c r="M20" s="847">
        <f t="shared" si="5"/>
        <v>43.963609540201624</v>
      </c>
      <c r="N20" s="847">
        <f t="shared" si="5"/>
        <v>44.020797227036397</v>
      </c>
      <c r="O20" s="848">
        <f t="shared" si="5"/>
        <v>44.002925402242809</v>
      </c>
      <c r="P20" s="846">
        <f t="shared" si="5"/>
        <v>43.982387475538161</v>
      </c>
      <c r="Q20" s="847">
        <f t="shared" si="5"/>
        <v>44.003989030167041</v>
      </c>
      <c r="R20" s="847">
        <f t="shared" si="5"/>
        <v>44.003989030167041</v>
      </c>
      <c r="S20" s="847">
        <f t="shared" si="5"/>
        <v>43.937575030012006</v>
      </c>
      <c r="T20" s="847">
        <f t="shared" si="5"/>
        <v>43.992104613866275</v>
      </c>
      <c r="U20" s="847">
        <f t="shared" si="5"/>
        <v>43.975155279503113</v>
      </c>
      <c r="V20" s="848">
        <f t="shared" si="5"/>
        <v>43.986254295532639</v>
      </c>
      <c r="W20" s="849"/>
    </row>
    <row r="21" spans="1:24" x14ac:dyDescent="0.25">
      <c r="A21" s="779"/>
      <c r="B21" s="850">
        <f t="shared" ref="B21:V21" si="6">B19-B15</f>
        <v>417.92593999999923</v>
      </c>
      <c r="C21" s="850">
        <f t="shared" si="6"/>
        <v>412.58287999999925</v>
      </c>
      <c r="D21" s="850">
        <f t="shared" si="6"/>
        <v>413.36045999999925</v>
      </c>
      <c r="E21" s="850">
        <f t="shared" si="6"/>
        <v>63.83913999999988</v>
      </c>
      <c r="F21" s="850">
        <f t="shared" si="6"/>
        <v>424.92415999999923</v>
      </c>
      <c r="G21" s="850">
        <f t="shared" si="6"/>
        <v>414.13803999999925</v>
      </c>
      <c r="H21" s="850">
        <f t="shared" si="6"/>
        <v>418.12593999999922</v>
      </c>
      <c r="I21" s="850">
        <f t="shared" si="6"/>
        <v>435.03269999999924</v>
      </c>
      <c r="J21" s="850">
        <f t="shared" si="6"/>
        <v>442.60849999999914</v>
      </c>
      <c r="K21" s="850">
        <f t="shared" si="6"/>
        <v>454.17219999999907</v>
      </c>
      <c r="L21" s="850">
        <f t="shared" si="6"/>
        <v>78.71315999999986</v>
      </c>
      <c r="M21" s="850">
        <f t="shared" si="6"/>
        <v>447.2739799999992</v>
      </c>
      <c r="N21" s="850">
        <f t="shared" si="6"/>
        <v>443.96365999999915</v>
      </c>
      <c r="O21" s="850">
        <f t="shared" si="6"/>
        <v>450.96187999999916</v>
      </c>
      <c r="P21" s="850">
        <f t="shared" si="6"/>
        <v>449.50671999999912</v>
      </c>
      <c r="Q21" s="850">
        <f t="shared" si="6"/>
        <v>440.95333999999912</v>
      </c>
      <c r="R21" s="850">
        <f t="shared" si="6"/>
        <v>440.95333999999912</v>
      </c>
      <c r="S21" s="850">
        <f t="shared" si="6"/>
        <v>91.632019999999841</v>
      </c>
      <c r="T21" s="850">
        <f t="shared" si="6"/>
        <v>445.61881999999918</v>
      </c>
      <c r="U21" s="850">
        <f t="shared" si="6"/>
        <v>442.60849999999914</v>
      </c>
      <c r="V21" s="850">
        <f t="shared" si="6"/>
        <v>447.95155999999923</v>
      </c>
      <c r="W21" s="851"/>
      <c r="X21" s="851"/>
    </row>
    <row r="22" spans="1:24" x14ac:dyDescent="0.25">
      <c r="A22" s="779"/>
      <c r="B22" s="922">
        <f>(B21+B25)/$A$2</f>
        <v>69.625313333333082</v>
      </c>
      <c r="C22" s="922">
        <f t="shared" ref="C22:V22" si="7">(C21+C25)/$A$2</f>
        <v>68.623889999999747</v>
      </c>
      <c r="D22" s="922">
        <f t="shared" si="7"/>
        <v>68.92015333333309</v>
      </c>
      <c r="E22" s="922">
        <f t="shared" si="7"/>
        <v>10.225976666666627</v>
      </c>
      <c r="F22" s="922">
        <f t="shared" si="7"/>
        <v>70.791386666666412</v>
      </c>
      <c r="G22" s="922">
        <f t="shared" si="7"/>
        <v>68.946013333333099</v>
      </c>
      <c r="H22" s="922">
        <f t="shared" si="7"/>
        <v>69.325313333333057</v>
      </c>
      <c r="I22" s="922">
        <f t="shared" si="7"/>
        <v>72.227566666666419</v>
      </c>
      <c r="J22" s="922">
        <f t="shared" si="7"/>
        <v>73.669499999999701</v>
      </c>
      <c r="K22" s="922">
        <f t="shared" si="7"/>
        <v>75.674066666666363</v>
      </c>
      <c r="L22" s="922">
        <f t="shared" si="7"/>
        <v>12.77105333333329</v>
      </c>
      <c r="M22" s="922">
        <f t="shared" si="7"/>
        <v>74.557993333333087</v>
      </c>
      <c r="N22" s="922">
        <f t="shared" si="7"/>
        <v>73.954553333333038</v>
      </c>
      <c r="O22" s="922">
        <f t="shared" si="7"/>
        <v>75.237293333333056</v>
      </c>
      <c r="P22" s="922">
        <f t="shared" si="7"/>
        <v>74.952239999999719</v>
      </c>
      <c r="Q22" s="922">
        <f t="shared" si="7"/>
        <v>73.530709999999729</v>
      </c>
      <c r="R22" s="922">
        <f t="shared" si="7"/>
        <v>73.517779999999718</v>
      </c>
      <c r="S22" s="922">
        <f t="shared" si="7"/>
        <v>15.240269999999947</v>
      </c>
      <c r="T22" s="922">
        <f t="shared" si="7"/>
        <v>74.056273333333067</v>
      </c>
      <c r="U22" s="922">
        <f t="shared" si="7"/>
        <v>73.486166666666392</v>
      </c>
      <c r="V22" s="922">
        <f t="shared" si="7"/>
        <v>74.550519999999736</v>
      </c>
      <c r="W22" s="852"/>
    </row>
    <row r="23" spans="1:24" x14ac:dyDescent="0.25">
      <c r="A23" s="779"/>
      <c r="B23" s="922">
        <f>B22 + SUMIF($A$8:$A$14, $A$3,B8:B14)</f>
        <v>153.12531333333308</v>
      </c>
      <c r="C23" s="922">
        <f t="shared" ref="C23:V23" si="8">C22 + SUMIF($A$8:$A$14, $A$3,C8:C14)</f>
        <v>150.92388999999974</v>
      </c>
      <c r="D23" s="922">
        <f t="shared" si="8"/>
        <v>151.62015333333309</v>
      </c>
      <c r="E23" s="922">
        <f t="shared" si="8"/>
        <v>22.725976666666625</v>
      </c>
      <c r="F23" s="922">
        <f t="shared" si="8"/>
        <v>155.6913866666664</v>
      </c>
      <c r="G23" s="922">
        <f t="shared" si="8"/>
        <v>151.64601333333309</v>
      </c>
      <c r="H23" s="922">
        <f t="shared" si="8"/>
        <v>152.62531333333305</v>
      </c>
      <c r="I23" s="922">
        <f t="shared" si="8"/>
        <v>158.92756666666642</v>
      </c>
      <c r="J23" s="922">
        <f t="shared" si="8"/>
        <v>162.06949999999972</v>
      </c>
      <c r="K23" s="922">
        <f t="shared" si="8"/>
        <v>166.47406666666637</v>
      </c>
      <c r="L23" s="922">
        <f t="shared" si="8"/>
        <v>28.271053333333292</v>
      </c>
      <c r="M23" s="922">
        <f t="shared" si="8"/>
        <v>164.05799333333309</v>
      </c>
      <c r="N23" s="922">
        <f t="shared" si="8"/>
        <v>162.65455333333304</v>
      </c>
      <c r="O23" s="922">
        <f t="shared" si="8"/>
        <v>165.53729333333305</v>
      </c>
      <c r="P23" s="922">
        <f t="shared" si="8"/>
        <v>164.85223999999971</v>
      </c>
      <c r="Q23" s="922">
        <f t="shared" si="8"/>
        <v>161.73070999999973</v>
      </c>
      <c r="R23" s="922">
        <f t="shared" si="8"/>
        <v>161.71777999999972</v>
      </c>
      <c r="S23" s="922">
        <f t="shared" si="8"/>
        <v>33.54026999999995</v>
      </c>
      <c r="T23" s="922">
        <f t="shared" si="8"/>
        <v>163.05627333333308</v>
      </c>
      <c r="U23" s="922">
        <f t="shared" si="8"/>
        <v>161.78616666666639</v>
      </c>
      <c r="V23" s="922">
        <f t="shared" si="8"/>
        <v>164.05051999999972</v>
      </c>
      <c r="W23" s="852"/>
    </row>
    <row r="24" spans="1:24" x14ac:dyDescent="0.25">
      <c r="A24" s="779"/>
      <c r="B24" s="923"/>
      <c r="C24" s="923"/>
      <c r="D24" s="923"/>
      <c r="E24" s="923"/>
      <c r="F24" s="923"/>
      <c r="G24" s="923"/>
      <c r="H24" s="923"/>
      <c r="I24" s="923"/>
      <c r="J24" s="923"/>
      <c r="K24" s="923"/>
      <c r="L24" s="923"/>
      <c r="M24" s="923"/>
      <c r="N24" s="923"/>
      <c r="O24" s="923"/>
      <c r="P24" s="923"/>
      <c r="Q24" s="923"/>
      <c r="R24" s="923"/>
      <c r="S24" s="923"/>
      <c r="T24" s="923"/>
      <c r="U24" s="923"/>
      <c r="V24" s="923"/>
      <c r="W24" s="852"/>
    </row>
    <row r="25" spans="1:24" x14ac:dyDescent="0.25">
      <c r="A25" s="779"/>
      <c r="B25" s="852">
        <v>-0.17406000000073618</v>
      </c>
      <c r="C25" s="852">
        <v>-0.83954000000073847</v>
      </c>
      <c r="D25" s="852">
        <v>0.16045999999926153</v>
      </c>
      <c r="E25" s="852">
        <v>-2.4832800000001214</v>
      </c>
      <c r="F25" s="852">
        <v>-0.17584000000078959</v>
      </c>
      <c r="G25" s="852">
        <v>-0.46196000000065851</v>
      </c>
      <c r="H25" s="852">
        <v>-2.1740600000008499</v>
      </c>
      <c r="I25" s="852">
        <v>-1.6673000000007505</v>
      </c>
      <c r="J25" s="852">
        <v>-0.59150000000090586</v>
      </c>
      <c r="K25" s="852">
        <v>-0.12780000000088876</v>
      </c>
      <c r="L25" s="852">
        <v>-2.086840000000123</v>
      </c>
      <c r="M25" s="852">
        <v>7.3979999999323809E-2</v>
      </c>
      <c r="N25" s="852">
        <v>-0.23634000000095057</v>
      </c>
      <c r="O25" s="852">
        <v>0.46187999999915519</v>
      </c>
      <c r="P25" s="852">
        <v>0.20671999999922264</v>
      </c>
      <c r="Q25" s="852">
        <v>0.23091999999928703</v>
      </c>
      <c r="R25" s="852">
        <v>0.15333999999916159</v>
      </c>
      <c r="S25" s="852">
        <v>-0.19040000000015311</v>
      </c>
      <c r="T25" s="852">
        <v>-1.2811800000007452</v>
      </c>
      <c r="U25" s="852">
        <v>-1.6915000000008149</v>
      </c>
      <c r="V25" s="852">
        <v>-0.64844000000084634</v>
      </c>
      <c r="W25" s="852"/>
    </row>
    <row r="26" spans="1:24" ht="15.75" thickBot="1" x14ac:dyDescent="0.3">
      <c r="A26" s="779"/>
      <c r="B26" s="852"/>
      <c r="C26" s="852"/>
      <c r="D26" s="852"/>
      <c r="E26" s="852"/>
      <c r="F26" s="852"/>
      <c r="G26" s="852"/>
      <c r="H26" s="852"/>
      <c r="I26" s="852"/>
      <c r="J26" s="852"/>
      <c r="K26" s="852"/>
      <c r="L26" s="852"/>
      <c r="M26" s="852"/>
      <c r="N26" s="852"/>
      <c r="O26" s="852"/>
      <c r="P26" s="852"/>
      <c r="Q26" s="852"/>
      <c r="R26" s="852"/>
      <c r="S26" s="852"/>
      <c r="T26" s="852"/>
      <c r="U26" s="852"/>
      <c r="V26" s="852"/>
      <c r="W26" s="852"/>
    </row>
    <row r="27" spans="1:24" ht="15.75" thickBot="1" x14ac:dyDescent="0.3">
      <c r="A27" s="853" t="s">
        <v>16</v>
      </c>
      <c r="B27" s="1082" t="s">
        <v>8</v>
      </c>
      <c r="C27" s="1083"/>
      <c r="D27" s="1083"/>
      <c r="E27" s="1083"/>
      <c r="F27" s="1083"/>
      <c r="G27" s="1083"/>
      <c r="H27" s="854"/>
      <c r="J27" s="851"/>
      <c r="K27" s="851"/>
      <c r="L27" s="851"/>
      <c r="M27" s="1086" t="s">
        <v>18</v>
      </c>
      <c r="N27" s="1087"/>
      <c r="O27" s="1083" t="s">
        <v>8</v>
      </c>
      <c r="P27" s="1083"/>
      <c r="Q27" s="1083"/>
      <c r="R27" s="1083"/>
      <c r="S27" s="1083"/>
      <c r="T27" s="1083"/>
      <c r="U27" s="855"/>
      <c r="V27" s="779"/>
      <c r="W27" s="779"/>
    </row>
    <row r="28" spans="1:24" ht="15.75" thickBot="1" x14ac:dyDescent="0.3">
      <c r="A28" s="862" t="s">
        <v>10</v>
      </c>
      <c r="B28" s="859">
        <v>1</v>
      </c>
      <c r="C28" s="863">
        <v>2</v>
      </c>
      <c r="D28" s="863">
        <v>3</v>
      </c>
      <c r="E28" s="863">
        <v>4</v>
      </c>
      <c r="F28" s="863">
        <v>5</v>
      </c>
      <c r="G28" s="863">
        <v>6</v>
      </c>
      <c r="H28" s="984" t="s">
        <v>9</v>
      </c>
      <c r="I28" s="858"/>
      <c r="J28" s="851"/>
      <c r="K28" s="851"/>
      <c r="L28" s="851"/>
      <c r="M28" s="1090" t="s">
        <v>10</v>
      </c>
      <c r="N28" s="1091"/>
      <c r="O28" s="941">
        <v>1</v>
      </c>
      <c r="P28" s="863">
        <v>2</v>
      </c>
      <c r="Q28" s="863">
        <v>3</v>
      </c>
      <c r="R28" s="863">
        <v>4</v>
      </c>
      <c r="S28" s="863">
        <v>5</v>
      </c>
      <c r="T28" s="991">
        <v>6</v>
      </c>
      <c r="U28" s="968" t="s">
        <v>9</v>
      </c>
      <c r="V28" s="858"/>
      <c r="W28" s="861"/>
    </row>
    <row r="29" spans="1:24" ht="15.75" thickBot="1" x14ac:dyDescent="0.3">
      <c r="A29" s="982" t="s">
        <v>136</v>
      </c>
      <c r="B29" s="975">
        <v>76.099999999999994</v>
      </c>
      <c r="C29" s="976">
        <v>74.400000000000006</v>
      </c>
      <c r="D29" s="1013">
        <v>3.8</v>
      </c>
      <c r="E29" s="976">
        <v>80.400000000000006</v>
      </c>
      <c r="F29" s="976">
        <v>82</v>
      </c>
      <c r="G29" s="981">
        <v>83.5</v>
      </c>
      <c r="H29" s="1014">
        <f t="shared" ref="H29:H37" si="9">SUM(B29:G29)</f>
        <v>400.20000000000005</v>
      </c>
      <c r="I29" s="858"/>
      <c r="J29" s="851"/>
      <c r="K29" s="851"/>
      <c r="L29" s="851"/>
      <c r="M29" s="1090" t="s">
        <v>10</v>
      </c>
      <c r="N29" s="1091"/>
      <c r="O29" s="975">
        <v>5.8</v>
      </c>
      <c r="P29" s="976">
        <v>5.7</v>
      </c>
      <c r="Q29" s="976">
        <v>0.7</v>
      </c>
      <c r="R29" s="976">
        <v>6.3</v>
      </c>
      <c r="S29" s="976">
        <v>6.5</v>
      </c>
      <c r="T29" s="981">
        <v>6.2</v>
      </c>
      <c r="U29" s="1014">
        <f t="shared" ref="U29:U37" si="10">SUM(O29:T29)</f>
        <v>31.2</v>
      </c>
      <c r="V29" s="858"/>
      <c r="W29" s="866"/>
    </row>
    <row r="30" spans="1:24" x14ac:dyDescent="0.25">
      <c r="A30" s="808" t="s">
        <v>51</v>
      </c>
      <c r="B30" s="985">
        <v>76.099999999999994</v>
      </c>
      <c r="C30" s="986">
        <v>74.400000000000006</v>
      </c>
      <c r="D30" s="987">
        <v>3.5</v>
      </c>
      <c r="E30" s="986">
        <v>80.400000000000006</v>
      </c>
      <c r="F30" s="986">
        <v>82</v>
      </c>
      <c r="G30" s="988">
        <v>83.5</v>
      </c>
      <c r="H30" s="896">
        <f t="shared" si="9"/>
        <v>399.9</v>
      </c>
      <c r="I30" s="815">
        <f>H30-H29</f>
        <v>-0.30000000000006821</v>
      </c>
      <c r="J30" s="851"/>
      <c r="K30" s="851"/>
      <c r="L30" s="851"/>
      <c r="M30" s="1092" t="s">
        <v>51</v>
      </c>
      <c r="N30" s="1093"/>
      <c r="O30" s="973">
        <v>5.8</v>
      </c>
      <c r="P30" s="971">
        <v>5.7</v>
      </c>
      <c r="Q30" s="971">
        <v>0.7</v>
      </c>
      <c r="R30" s="971">
        <v>6.3</v>
      </c>
      <c r="S30" s="971">
        <v>6.5</v>
      </c>
      <c r="T30" s="992">
        <v>6.2</v>
      </c>
      <c r="U30" s="1015">
        <f t="shared" si="10"/>
        <v>31.2</v>
      </c>
      <c r="V30" s="815">
        <f>U30-U29</f>
        <v>0</v>
      </c>
      <c r="W30" s="866"/>
    </row>
    <row r="31" spans="1:24" x14ac:dyDescent="0.25">
      <c r="A31" s="808" t="s">
        <v>24</v>
      </c>
      <c r="B31" s="809">
        <v>76.400000000000006</v>
      </c>
      <c r="C31" s="810">
        <v>74.400000000000006</v>
      </c>
      <c r="D31" s="868">
        <v>3.6</v>
      </c>
      <c r="E31" s="810">
        <v>81.7</v>
      </c>
      <c r="F31" s="810">
        <v>83.2</v>
      </c>
      <c r="G31" s="988">
        <v>83.8</v>
      </c>
      <c r="H31" s="817">
        <f t="shared" si="9"/>
        <v>403.1</v>
      </c>
      <c r="I31" s="815">
        <f>H31-H30</f>
        <v>3.2000000000000455</v>
      </c>
      <c r="J31" s="851"/>
      <c r="K31" s="851"/>
      <c r="L31" s="851"/>
      <c r="M31" s="1092" t="s">
        <v>24</v>
      </c>
      <c r="N31" s="1093"/>
      <c r="O31" s="973">
        <v>5.7</v>
      </c>
      <c r="P31" s="971">
        <v>5.7</v>
      </c>
      <c r="Q31" s="971">
        <v>0.4</v>
      </c>
      <c r="R31" s="971">
        <v>6.4</v>
      </c>
      <c r="S31" s="971">
        <v>6.4</v>
      </c>
      <c r="T31" s="992">
        <v>6.2</v>
      </c>
      <c r="U31" s="995">
        <f t="shared" si="10"/>
        <v>30.8</v>
      </c>
      <c r="V31" s="815">
        <f>U31-U30</f>
        <v>-0.39999999999999858</v>
      </c>
      <c r="W31" s="866"/>
    </row>
    <row r="32" spans="1:24" x14ac:dyDescent="0.25">
      <c r="A32" s="808" t="s">
        <v>20</v>
      </c>
      <c r="B32" s="809"/>
      <c r="C32" s="810"/>
      <c r="D32" s="868"/>
      <c r="E32" s="810"/>
      <c r="F32" s="810"/>
      <c r="G32" s="812"/>
      <c r="H32" s="817">
        <f t="shared" si="9"/>
        <v>0</v>
      </c>
      <c r="I32" s="815">
        <f t="shared" ref="I32:I36" si="11">H32-H31</f>
        <v>-403.1</v>
      </c>
      <c r="J32" s="869"/>
      <c r="K32" s="869"/>
      <c r="L32" s="869"/>
      <c r="M32" s="1092" t="s">
        <v>20</v>
      </c>
      <c r="N32" s="1093"/>
      <c r="O32" s="973">
        <v>5.7</v>
      </c>
      <c r="P32" s="971">
        <v>5.7</v>
      </c>
      <c r="Q32" s="971">
        <v>0.4</v>
      </c>
      <c r="R32" s="971">
        <v>6.5</v>
      </c>
      <c r="S32" s="971">
        <v>6.4</v>
      </c>
      <c r="T32" s="992">
        <v>6.2</v>
      </c>
      <c r="U32" s="995">
        <f t="shared" si="10"/>
        <v>30.900000000000002</v>
      </c>
      <c r="V32" s="815">
        <f t="shared" ref="V32:V36" si="12">U32-U31</f>
        <v>0.10000000000000142</v>
      </c>
      <c r="W32" s="866"/>
    </row>
    <row r="33" spans="1:26" x14ac:dyDescent="0.25">
      <c r="A33" s="820" t="s">
        <v>28</v>
      </c>
      <c r="B33" s="809"/>
      <c r="C33" s="810"/>
      <c r="D33" s="868"/>
      <c r="E33" s="810"/>
      <c r="F33" s="810"/>
      <c r="G33" s="812"/>
      <c r="H33" s="817">
        <f t="shared" si="9"/>
        <v>0</v>
      </c>
      <c r="I33" s="870">
        <f t="shared" si="11"/>
        <v>0</v>
      </c>
      <c r="J33" s="779"/>
      <c r="K33" s="779"/>
      <c r="L33" s="779"/>
      <c r="M33" s="1092" t="s">
        <v>28</v>
      </c>
      <c r="N33" s="1093"/>
      <c r="O33" s="973">
        <v>5.7</v>
      </c>
      <c r="P33" s="971">
        <v>5.8</v>
      </c>
      <c r="Q33" s="971">
        <v>0.4</v>
      </c>
      <c r="R33" s="971">
        <v>6.5</v>
      </c>
      <c r="S33" s="971">
        <v>6.4</v>
      </c>
      <c r="T33" s="992">
        <v>6.2</v>
      </c>
      <c r="U33" s="995">
        <f t="shared" si="10"/>
        <v>30.999999999999996</v>
      </c>
      <c r="V33" s="815">
        <f t="shared" si="12"/>
        <v>9.9999999999994316E-2</v>
      </c>
      <c r="W33" s="866"/>
    </row>
    <row r="34" spans="1:26" x14ac:dyDescent="0.25">
      <c r="A34" s="808" t="s">
        <v>21</v>
      </c>
      <c r="B34" s="809"/>
      <c r="C34" s="810"/>
      <c r="D34" s="868"/>
      <c r="E34" s="810"/>
      <c r="F34" s="810"/>
      <c r="G34" s="812"/>
      <c r="H34" s="817">
        <f t="shared" si="9"/>
        <v>0</v>
      </c>
      <c r="I34" s="815">
        <f t="shared" si="11"/>
        <v>0</v>
      </c>
      <c r="J34" s="861"/>
      <c r="K34" s="861"/>
      <c r="L34" s="861"/>
      <c r="M34" s="1092" t="s">
        <v>21</v>
      </c>
      <c r="N34" s="1093"/>
      <c r="O34" s="973">
        <v>5.8</v>
      </c>
      <c r="P34" s="971">
        <v>5.8</v>
      </c>
      <c r="Q34" s="971">
        <v>0.5</v>
      </c>
      <c r="R34" s="971">
        <v>6.6</v>
      </c>
      <c r="S34" s="971">
        <v>6.6</v>
      </c>
      <c r="T34" s="992">
        <v>6.3</v>
      </c>
      <c r="U34" s="995">
        <f t="shared" si="10"/>
        <v>31.599999999999998</v>
      </c>
      <c r="V34" s="815">
        <f t="shared" si="12"/>
        <v>0.60000000000000142</v>
      </c>
      <c r="W34" s="866"/>
    </row>
    <row r="35" spans="1:26" x14ac:dyDescent="0.25">
      <c r="A35" s="808" t="s">
        <v>22</v>
      </c>
      <c r="B35" s="809"/>
      <c r="C35" s="810"/>
      <c r="D35" s="868"/>
      <c r="E35" s="810"/>
      <c r="F35" s="810"/>
      <c r="G35" s="812"/>
      <c r="H35" s="817">
        <f t="shared" si="9"/>
        <v>0</v>
      </c>
      <c r="I35" s="815">
        <f t="shared" si="11"/>
        <v>0</v>
      </c>
      <c r="J35" s="851"/>
      <c r="K35" s="851"/>
      <c r="L35" s="851"/>
      <c r="M35" s="1092" t="s">
        <v>22</v>
      </c>
      <c r="N35" s="1093"/>
      <c r="O35" s="973">
        <v>5.9</v>
      </c>
      <c r="P35" s="971">
        <v>5.8</v>
      </c>
      <c r="Q35" s="971">
        <v>0.5</v>
      </c>
      <c r="R35" s="971">
        <v>6.6</v>
      </c>
      <c r="S35" s="971">
        <v>6.6</v>
      </c>
      <c r="T35" s="992">
        <v>6.3</v>
      </c>
      <c r="U35" s="995">
        <f t="shared" si="10"/>
        <v>31.7</v>
      </c>
      <c r="V35" s="815">
        <f t="shared" si="12"/>
        <v>0.10000000000000142</v>
      </c>
      <c r="W35" s="866"/>
    </row>
    <row r="36" spans="1:26" ht="15.75" thickBot="1" x14ac:dyDescent="0.3">
      <c r="A36" s="808" t="s">
        <v>23</v>
      </c>
      <c r="B36" s="809"/>
      <c r="C36" s="810"/>
      <c r="D36" s="868"/>
      <c r="E36" s="810"/>
      <c r="F36" s="810"/>
      <c r="G36" s="812"/>
      <c r="H36" s="928">
        <f t="shared" si="9"/>
        <v>0</v>
      </c>
      <c r="I36" s="815">
        <f t="shared" si="11"/>
        <v>0</v>
      </c>
      <c r="J36" s="779"/>
      <c r="K36" s="779"/>
      <c r="L36" s="779"/>
      <c r="M36" s="1092" t="s">
        <v>23</v>
      </c>
      <c r="N36" s="1093"/>
      <c r="O36" s="973">
        <v>5.9</v>
      </c>
      <c r="P36" s="971">
        <v>5.8</v>
      </c>
      <c r="Q36" s="971">
        <v>0.5</v>
      </c>
      <c r="R36" s="971">
        <v>6.6</v>
      </c>
      <c r="S36" s="971">
        <v>6.6</v>
      </c>
      <c r="T36" s="992">
        <v>6.3</v>
      </c>
      <c r="U36" s="996">
        <f t="shared" si="10"/>
        <v>31.7</v>
      </c>
      <c r="V36" s="815">
        <f t="shared" si="12"/>
        <v>0</v>
      </c>
      <c r="W36" s="866"/>
      <c r="Z36" s="871"/>
    </row>
    <row r="37" spans="1:26" ht="15.75" thickBot="1" x14ac:dyDescent="0.3">
      <c r="A37" s="800" t="s">
        <v>9</v>
      </c>
      <c r="B37" s="933">
        <f t="shared" ref="B37:G37" si="13">SUM(B30:B36)</f>
        <v>152.5</v>
      </c>
      <c r="C37" s="934">
        <f t="shared" si="13"/>
        <v>148.80000000000001</v>
      </c>
      <c r="D37" s="934">
        <f>SUM(D30:D36)</f>
        <v>7.1</v>
      </c>
      <c r="E37" s="934">
        <f t="shared" si="13"/>
        <v>162.10000000000002</v>
      </c>
      <c r="F37" s="934">
        <f t="shared" si="13"/>
        <v>165.2</v>
      </c>
      <c r="G37" s="939">
        <f t="shared" si="13"/>
        <v>167.3</v>
      </c>
      <c r="H37" s="940">
        <f t="shared" si="9"/>
        <v>803</v>
      </c>
      <c r="I37" s="872"/>
      <c r="J37" s="851"/>
      <c r="K37" s="851"/>
      <c r="L37" s="851"/>
      <c r="M37" s="1090" t="s">
        <v>9</v>
      </c>
      <c r="N37" s="1091"/>
      <c r="O37" s="933">
        <f t="shared" ref="O37:T37" si="14">SUM(O30:O36)</f>
        <v>40.5</v>
      </c>
      <c r="P37" s="934">
        <f t="shared" si="14"/>
        <v>40.299999999999997</v>
      </c>
      <c r="Q37" s="934">
        <f t="shared" si="14"/>
        <v>3.4</v>
      </c>
      <c r="R37" s="934">
        <f t="shared" si="14"/>
        <v>45.5</v>
      </c>
      <c r="S37" s="934">
        <f t="shared" si="14"/>
        <v>45.500000000000007</v>
      </c>
      <c r="T37" s="939">
        <f t="shared" si="14"/>
        <v>43.699999999999996</v>
      </c>
      <c r="U37" s="935">
        <f t="shared" si="10"/>
        <v>218.89999999999998</v>
      </c>
      <c r="V37" s="851"/>
      <c r="W37" s="779"/>
    </row>
    <row r="38" spans="1:26" x14ac:dyDescent="0.25">
      <c r="A38" s="828" t="s">
        <v>11</v>
      </c>
      <c r="B38" s="936">
        <v>152.82</v>
      </c>
      <c r="C38" s="937">
        <v>152.82</v>
      </c>
      <c r="D38" s="937">
        <v>152.82</v>
      </c>
      <c r="E38" s="937">
        <v>152.82</v>
      </c>
      <c r="F38" s="937">
        <v>152.82</v>
      </c>
      <c r="G38" s="938">
        <v>152.82</v>
      </c>
      <c r="H38" s="929">
        <f>+((H37/H39)/7)*1000</f>
        <v>43.650793650793652</v>
      </c>
      <c r="I38" s="872"/>
      <c r="J38" s="851"/>
      <c r="K38" s="851"/>
      <c r="L38" s="851"/>
      <c r="M38" s="1062" t="s">
        <v>11</v>
      </c>
      <c r="N38" s="1063"/>
      <c r="O38" s="943">
        <v>156.5</v>
      </c>
      <c r="P38" s="930">
        <v>155.5</v>
      </c>
      <c r="Q38" s="930">
        <v>161</v>
      </c>
      <c r="R38" s="930">
        <v>158.5</v>
      </c>
      <c r="S38" s="930">
        <v>158.5</v>
      </c>
      <c r="T38" s="931">
        <v>160</v>
      </c>
      <c r="U38" s="929">
        <f>+((U37/U39)/7)*1000</f>
        <v>157.93650793650789</v>
      </c>
      <c r="V38" s="877"/>
    </row>
    <row r="39" spans="1:26" x14ac:dyDescent="0.25">
      <c r="A39" s="833" t="s">
        <v>12</v>
      </c>
      <c r="B39" s="834">
        <v>499</v>
      </c>
      <c r="C39" s="835">
        <v>487</v>
      </c>
      <c r="D39" s="835">
        <v>24</v>
      </c>
      <c r="E39" s="835">
        <v>530</v>
      </c>
      <c r="F39" s="835">
        <v>540</v>
      </c>
      <c r="G39" s="836">
        <v>548</v>
      </c>
      <c r="H39" s="878">
        <f>SUM(B39:G39)</f>
        <v>2628</v>
      </c>
      <c r="I39" s="872"/>
      <c r="J39" s="779"/>
      <c r="K39" s="779"/>
      <c r="L39" s="851"/>
      <c r="M39" s="1064" t="s">
        <v>12</v>
      </c>
      <c r="N39" s="1065"/>
      <c r="O39" s="944">
        <v>37</v>
      </c>
      <c r="P39" s="879">
        <v>37</v>
      </c>
      <c r="Q39" s="879">
        <v>3</v>
      </c>
      <c r="R39" s="879">
        <v>41</v>
      </c>
      <c r="S39" s="879">
        <v>41</v>
      </c>
      <c r="T39" s="1008">
        <v>39</v>
      </c>
      <c r="U39" s="880">
        <f>SUM(O39:T39)</f>
        <v>198</v>
      </c>
      <c r="V39" s="881"/>
    </row>
    <row r="40" spans="1:26" x14ac:dyDescent="0.25">
      <c r="A40" s="838" t="s">
        <v>13</v>
      </c>
      <c r="B40" s="839">
        <f>((((B38*7)*B39)/1000-B30)/6)</f>
        <v>76.283376666666655</v>
      </c>
      <c r="C40" s="842">
        <f t="shared" ref="C40:G40" si="15">((((C38*7)*C39)/1000-C30)/6)</f>
        <v>74.427230000000009</v>
      </c>
      <c r="D40" s="842">
        <f t="shared" si="15"/>
        <v>3.6956266666666671</v>
      </c>
      <c r="E40" s="842">
        <f t="shared" si="15"/>
        <v>81.093699999999998</v>
      </c>
      <c r="F40" s="842">
        <f t="shared" si="15"/>
        <v>82.609933333333331</v>
      </c>
      <c r="G40" s="843">
        <f t="shared" si="15"/>
        <v>83.786253333333335</v>
      </c>
      <c r="H40" s="882">
        <f>((H37*1000)/H39)/7</f>
        <v>43.650793650793652</v>
      </c>
      <c r="I40" s="883"/>
      <c r="J40" s="883"/>
      <c r="K40" s="779"/>
      <c r="L40" s="851"/>
      <c r="M40" s="1066" t="s">
        <v>13</v>
      </c>
      <c r="N40" s="1067"/>
      <c r="O40" s="913">
        <f>((((O38*7)*O39)/1000/7))</f>
        <v>5.7904999999999998</v>
      </c>
      <c r="P40" s="842">
        <f t="shared" ref="P40:T40" si="16">((((P38*7)*P39)/1000-P30-P31)/5)</f>
        <v>5.7749000000000006</v>
      </c>
      <c r="Q40" s="842">
        <f t="shared" si="16"/>
        <v>0.45620000000000005</v>
      </c>
      <c r="R40" s="842">
        <f t="shared" si="16"/>
        <v>6.557900000000001</v>
      </c>
      <c r="S40" s="842">
        <f t="shared" si="16"/>
        <v>6.5179</v>
      </c>
      <c r="T40" s="843">
        <f t="shared" si="16"/>
        <v>6.2559999999999993</v>
      </c>
      <c r="U40" s="884">
        <f>((U37*1000)/U39)/7</f>
        <v>157.93650793650792</v>
      </c>
      <c r="V40" s="885"/>
    </row>
    <row r="41" spans="1:26" x14ac:dyDescent="0.25">
      <c r="A41" s="841" t="s">
        <v>14</v>
      </c>
      <c r="B41" s="839">
        <f>((B39*B38)*7)/1000</f>
        <v>533.80025999999998</v>
      </c>
      <c r="C41" s="842">
        <f t="shared" ref="C41:G41" si="17">((C39*C38)*7)/1000</f>
        <v>520.96338000000003</v>
      </c>
      <c r="D41" s="842">
        <f t="shared" si="17"/>
        <v>25.673759999999998</v>
      </c>
      <c r="E41" s="842">
        <f t="shared" si="17"/>
        <v>566.96219999999994</v>
      </c>
      <c r="F41" s="842">
        <f t="shared" si="17"/>
        <v>577.65959999999995</v>
      </c>
      <c r="G41" s="843">
        <f t="shared" si="17"/>
        <v>586.21752000000004</v>
      </c>
      <c r="H41" s="886"/>
      <c r="I41" s="780"/>
      <c r="J41" s="780"/>
      <c r="K41" s="779"/>
      <c r="L41" s="851"/>
      <c r="M41" s="1068" t="s">
        <v>14</v>
      </c>
      <c r="N41" s="1069"/>
      <c r="O41" s="913">
        <f t="shared" ref="O41:T41" si="18">((O39*O38)*7)/1000</f>
        <v>40.533499999999997</v>
      </c>
      <c r="P41" s="842">
        <f t="shared" si="18"/>
        <v>40.274500000000003</v>
      </c>
      <c r="Q41" s="842">
        <f t="shared" si="18"/>
        <v>3.3809999999999998</v>
      </c>
      <c r="R41" s="842">
        <f t="shared" si="18"/>
        <v>45.4895</v>
      </c>
      <c r="S41" s="842">
        <f t="shared" si="18"/>
        <v>45.4895</v>
      </c>
      <c r="T41" s="843">
        <f t="shared" si="18"/>
        <v>43.68</v>
      </c>
      <c r="U41" s="844"/>
    </row>
    <row r="42" spans="1:26" ht="15.75" thickBot="1" x14ac:dyDescent="0.3">
      <c r="A42" s="887" t="s">
        <v>15</v>
      </c>
      <c r="B42" s="846">
        <f t="shared" ref="B42:G42" si="19">+(B37/B39)/7*1000</f>
        <v>43.658746063555682</v>
      </c>
      <c r="C42" s="847">
        <f t="shared" si="19"/>
        <v>43.649163977706074</v>
      </c>
      <c r="D42" s="847">
        <f t="shared" si="19"/>
        <v>42.261904761904766</v>
      </c>
      <c r="E42" s="847">
        <f t="shared" si="19"/>
        <v>43.692722371967662</v>
      </c>
      <c r="F42" s="847">
        <f t="shared" si="19"/>
        <v>43.703703703703695</v>
      </c>
      <c r="G42" s="848">
        <f t="shared" si="19"/>
        <v>43.613138686131393</v>
      </c>
      <c r="H42" s="888"/>
      <c r="I42" s="779"/>
      <c r="J42" s="779"/>
      <c r="K42" s="883" t="s">
        <v>133</v>
      </c>
      <c r="L42" s="851"/>
      <c r="M42" s="1070" t="s">
        <v>15</v>
      </c>
      <c r="N42" s="1071"/>
      <c r="O42" s="916">
        <f t="shared" ref="O42:T42" si="20">+(O37/O39)/7*1000</f>
        <v>156.37065637065638</v>
      </c>
      <c r="P42" s="847">
        <f t="shared" si="20"/>
        <v>155.59845559845559</v>
      </c>
      <c r="Q42" s="847">
        <f t="shared" si="20"/>
        <v>161.90476190476193</v>
      </c>
      <c r="R42" s="847">
        <f t="shared" si="20"/>
        <v>158.53658536585365</v>
      </c>
      <c r="S42" s="847">
        <f t="shared" si="20"/>
        <v>158.53658536585365</v>
      </c>
      <c r="T42" s="848">
        <f t="shared" si="20"/>
        <v>160.07326007326003</v>
      </c>
      <c r="U42" s="889"/>
      <c r="V42" s="851"/>
    </row>
    <row r="43" spans="1:26" x14ac:dyDescent="0.25">
      <c r="A43" s="779"/>
      <c r="B43" s="850">
        <f t="shared" ref="B43:G43" si="21">B41-B37</f>
        <v>381.30025999999998</v>
      </c>
      <c r="C43" s="850">
        <f t="shared" si="21"/>
        <v>372.16338000000002</v>
      </c>
      <c r="D43" s="850">
        <f t="shared" si="21"/>
        <v>18.57376</v>
      </c>
      <c r="E43" s="850">
        <f t="shared" si="21"/>
        <v>404.86219999999992</v>
      </c>
      <c r="F43" s="850">
        <f t="shared" si="21"/>
        <v>412.45959999999997</v>
      </c>
      <c r="G43" s="850">
        <f t="shared" si="21"/>
        <v>418.91752000000002</v>
      </c>
      <c r="H43" s="779"/>
      <c r="I43" s="779"/>
      <c r="J43" s="779"/>
      <c r="K43" s="780"/>
      <c r="L43" s="779"/>
      <c r="M43" s="779"/>
      <c r="N43" s="851"/>
      <c r="O43" s="850">
        <f t="shared" ref="O43:T44" si="22">O41-O37</f>
        <v>3.3499999999996533E-2</v>
      </c>
      <c r="P43" s="850">
        <f t="shared" si="22"/>
        <v>-2.5499999999993861E-2</v>
      </c>
      <c r="Q43" s="850">
        <f t="shared" si="22"/>
        <v>-1.9000000000000128E-2</v>
      </c>
      <c r="R43" s="850">
        <f t="shared" si="22"/>
        <v>-1.0500000000000398E-2</v>
      </c>
      <c r="S43" s="850">
        <f t="shared" si="22"/>
        <v>-1.0500000000007503E-2</v>
      </c>
      <c r="T43" s="850">
        <f t="shared" si="22"/>
        <v>-1.9999999999996021E-2</v>
      </c>
    </row>
    <row r="44" spans="1:26" x14ac:dyDescent="0.25">
      <c r="A44" s="779"/>
      <c r="B44" s="850"/>
      <c r="C44" s="850"/>
      <c r="D44" s="850"/>
      <c r="E44" s="850"/>
      <c r="F44" s="850"/>
      <c r="G44" s="850"/>
      <c r="H44" s="779"/>
      <c r="I44" s="779"/>
      <c r="J44" s="779"/>
      <c r="K44" s="780"/>
      <c r="L44" s="779"/>
      <c r="M44" s="779"/>
      <c r="N44" s="851"/>
      <c r="O44" s="850">
        <f>O42-O38</f>
        <v>-0.12934362934362298</v>
      </c>
      <c r="P44" s="850">
        <f t="shared" si="22"/>
        <v>9.8455598455586824E-2</v>
      </c>
      <c r="Q44" s="850">
        <f>Q42-Q38</f>
        <v>0.90476190476192642</v>
      </c>
      <c r="R44" s="850">
        <f t="shared" si="22"/>
        <v>3.6585365853653684E-2</v>
      </c>
      <c r="S44" s="850">
        <f t="shared" si="22"/>
        <v>3.6585365853653684E-2</v>
      </c>
      <c r="T44" s="850">
        <f t="shared" si="22"/>
        <v>7.3260073260030367E-2</v>
      </c>
    </row>
    <row r="45" spans="1:26" x14ac:dyDescent="0.25">
      <c r="A45" s="779"/>
      <c r="B45" s="922">
        <f>(B43+B47)/$A$2</f>
        <v>63.666753333333325</v>
      </c>
      <c r="C45" s="922">
        <f t="shared" ref="C45:G45" si="23">(C43+C47)/$A$2</f>
        <v>62.021126666666675</v>
      </c>
      <c r="D45" s="922">
        <f>(D43+D47)/$A$2</f>
        <v>2.9629633333333327</v>
      </c>
      <c r="E45" s="922">
        <f t="shared" si="23"/>
        <v>68.093979999999988</v>
      </c>
      <c r="F45" s="922">
        <f t="shared" si="23"/>
        <v>69.36482333333332</v>
      </c>
      <c r="G45" s="922">
        <f t="shared" si="23"/>
        <v>69.872506666666681</v>
      </c>
      <c r="I45" s="779"/>
      <c r="J45" s="779"/>
      <c r="K45" s="779"/>
      <c r="L45" s="779"/>
      <c r="M45" s="851"/>
      <c r="N45" s="851"/>
      <c r="O45" s="922">
        <f t="shared" ref="O45:T45" si="24">(O43+O47)/$A$2</f>
        <v>5.5833333333327557E-3</v>
      </c>
      <c r="P45" s="922">
        <f t="shared" si="24"/>
        <v>-4.2499999999989768E-3</v>
      </c>
      <c r="Q45" s="922">
        <f t="shared" si="24"/>
        <v>-3.1666666666666878E-3</v>
      </c>
      <c r="R45" s="922">
        <f t="shared" si="24"/>
        <v>-1.7500000000000664E-3</v>
      </c>
      <c r="S45" s="922">
        <f t="shared" si="24"/>
        <v>-1.7500000000012506E-3</v>
      </c>
      <c r="T45" s="922">
        <f t="shared" si="24"/>
        <v>-3.33333333333267E-3</v>
      </c>
      <c r="V45" s="779"/>
    </row>
    <row r="46" spans="1:26" x14ac:dyDescent="0.25">
      <c r="A46" s="779"/>
      <c r="B46" s="922">
        <f>B45 + SUMIF($A$30:$A$36, $A$3,B30:B36)</f>
        <v>140.06675333333334</v>
      </c>
      <c r="C46" s="922">
        <f t="shared" ref="C46:F46" si="25">C45 + SUMIF($A$30:$A$36, $A$3,C30:C36)</f>
        <v>136.42112666666668</v>
      </c>
      <c r="D46" s="922">
        <f t="shared" si="25"/>
        <v>6.5629633333333324</v>
      </c>
      <c r="E46" s="922">
        <f t="shared" si="25"/>
        <v>149.79397999999998</v>
      </c>
      <c r="F46" s="922">
        <f t="shared" si="25"/>
        <v>152.56482333333332</v>
      </c>
      <c r="G46" s="922">
        <f>G45 + SUMIF($A$30:$A$36, $A$3,G30:G36)</f>
        <v>153.67250666666666</v>
      </c>
      <c r="H46" s="779"/>
      <c r="I46" s="851"/>
      <c r="K46" s="779"/>
      <c r="L46" s="779"/>
      <c r="M46" s="779"/>
      <c r="N46" s="779"/>
      <c r="O46" s="922">
        <f ca="1">O45 + SUMIF($M$30:$N$36, $A$3,O30:O36)</f>
        <v>5.7055833333333332</v>
      </c>
      <c r="P46" s="922">
        <f t="shared" ref="P46:T46" ca="1" si="26">P45 + SUMIF($M$30:$N$36, $A$3,P30:P36)</f>
        <v>5.6957500000000012</v>
      </c>
      <c r="Q46" s="922">
        <f t="shared" ca="1" si="26"/>
        <v>0.39683333333333332</v>
      </c>
      <c r="R46" s="922">
        <f t="shared" ca="1" si="26"/>
        <v>6.39825</v>
      </c>
      <c r="S46" s="922">
        <f t="shared" ca="1" si="26"/>
        <v>6.3982499999999991</v>
      </c>
      <c r="T46" s="922">
        <f t="shared" ca="1" si="26"/>
        <v>6.1966666666666672</v>
      </c>
      <c r="U46" s="779"/>
      <c r="V46" s="779"/>
      <c r="W46" s="779"/>
    </row>
    <row r="47" spans="1:26" x14ac:dyDescent="0.25">
      <c r="A47" s="779"/>
      <c r="B47" s="851">
        <v>0.70025999999995747</v>
      </c>
      <c r="C47" s="851">
        <v>-3.6619999999970787E-2</v>
      </c>
      <c r="D47" s="851">
        <v>-0.79598000000000368</v>
      </c>
      <c r="E47" s="851">
        <v>3.7016800000000103</v>
      </c>
      <c r="F47" s="851">
        <v>3.7293399999999792</v>
      </c>
      <c r="G47" s="851">
        <v>0.31752000000005864</v>
      </c>
      <c r="H47" s="851"/>
      <c r="I47" s="851"/>
      <c r="K47" s="779"/>
      <c r="L47" s="779"/>
      <c r="M47" s="779"/>
      <c r="N47" s="779"/>
      <c r="O47" s="851"/>
      <c r="P47" s="851"/>
      <c r="Q47" s="851"/>
      <c r="R47" s="851"/>
      <c r="S47" s="851"/>
      <c r="T47" s="851"/>
      <c r="U47" s="851"/>
      <c r="V47" s="851"/>
      <c r="W47" s="779"/>
    </row>
    <row r="48" spans="1:26" ht="15.75" thickBot="1" x14ac:dyDescent="0.3">
      <c r="A48" s="779"/>
      <c r="B48" s="851"/>
      <c r="C48" s="851"/>
      <c r="D48" s="851"/>
      <c r="E48" s="851"/>
      <c r="F48" s="851"/>
      <c r="G48" s="851"/>
      <c r="H48" s="851"/>
      <c r="I48" s="851"/>
      <c r="K48" s="779"/>
      <c r="L48" s="779"/>
      <c r="M48" s="779"/>
      <c r="N48" s="779"/>
      <c r="O48" s="851"/>
      <c r="P48" s="851"/>
      <c r="Q48" s="851"/>
      <c r="R48" s="851"/>
      <c r="S48" s="851"/>
      <c r="T48" s="851"/>
      <c r="U48" s="851"/>
      <c r="V48" s="851"/>
      <c r="W48" s="779"/>
    </row>
    <row r="49" spans="1:25" ht="15.75" thickBot="1" x14ac:dyDescent="0.3">
      <c r="A49" s="784" t="s">
        <v>19</v>
      </c>
      <c r="B49" s="1084" t="s">
        <v>113</v>
      </c>
      <c r="C49" s="1085"/>
      <c r="D49" s="1085"/>
      <c r="E49" s="1085"/>
      <c r="F49" s="1085"/>
      <c r="G49" s="1085"/>
      <c r="H49" s="1085"/>
      <c r="I49" s="1075" t="s">
        <v>63</v>
      </c>
      <c r="J49" s="1076"/>
      <c r="K49" s="1076"/>
      <c r="L49" s="1076"/>
      <c r="M49" s="1076"/>
      <c r="N49" s="1076"/>
      <c r="O49" s="1076"/>
      <c r="P49" s="1078" t="s">
        <v>8</v>
      </c>
      <c r="Q49" s="1079"/>
      <c r="R49" s="1079"/>
      <c r="S49" s="1079"/>
      <c r="T49" s="1079"/>
      <c r="U49" s="1079"/>
      <c r="V49" s="1080"/>
      <c r="W49" s="785"/>
    </row>
    <row r="50" spans="1:25" ht="15.75" thickBot="1" x14ac:dyDescent="0.3">
      <c r="A50" s="892" t="s">
        <v>10</v>
      </c>
      <c r="B50" s="801">
        <v>1</v>
      </c>
      <c r="C50" s="802">
        <v>2</v>
      </c>
      <c r="D50" s="802">
        <v>3</v>
      </c>
      <c r="E50" s="802">
        <v>4</v>
      </c>
      <c r="F50" s="802">
        <v>5</v>
      </c>
      <c r="G50" s="802">
        <v>6</v>
      </c>
      <c r="H50" s="805">
        <v>7</v>
      </c>
      <c r="I50" s="801">
        <v>1</v>
      </c>
      <c r="J50" s="802">
        <v>2</v>
      </c>
      <c r="K50" s="802">
        <v>3</v>
      </c>
      <c r="L50" s="802">
        <v>4</v>
      </c>
      <c r="M50" s="802">
        <v>5</v>
      </c>
      <c r="N50" s="802">
        <v>6</v>
      </c>
      <c r="O50" s="803">
        <v>7</v>
      </c>
      <c r="P50" s="801">
        <v>1</v>
      </c>
      <c r="Q50" s="802">
        <v>2</v>
      </c>
      <c r="R50" s="802">
        <v>3</v>
      </c>
      <c r="S50" s="802">
        <v>4</v>
      </c>
      <c r="T50" s="802">
        <v>5</v>
      </c>
      <c r="U50" s="802">
        <v>6</v>
      </c>
      <c r="V50" s="803">
        <v>7</v>
      </c>
      <c r="W50" s="797" t="s">
        <v>9</v>
      </c>
    </row>
    <row r="51" spans="1:25" ht="15.75" thickBot="1" x14ac:dyDescent="0.3">
      <c r="A51" s="892" t="s">
        <v>10</v>
      </c>
      <c r="B51" s="997">
        <v>7</v>
      </c>
      <c r="C51" s="998">
        <v>6.5</v>
      </c>
      <c r="D51" s="998">
        <v>6.8</v>
      </c>
      <c r="E51" s="998">
        <v>1.3</v>
      </c>
      <c r="F51" s="998">
        <v>6.9</v>
      </c>
      <c r="G51" s="998">
        <v>6.9</v>
      </c>
      <c r="H51" s="999">
        <v>6.9</v>
      </c>
      <c r="I51" s="997">
        <v>7.1</v>
      </c>
      <c r="J51" s="998">
        <v>7.1</v>
      </c>
      <c r="K51" s="998">
        <v>7.3</v>
      </c>
      <c r="L51" s="998">
        <v>1.5</v>
      </c>
      <c r="M51" s="976">
        <v>6.9</v>
      </c>
      <c r="N51" s="998">
        <v>7.2</v>
      </c>
      <c r="O51" s="999">
        <v>6.9</v>
      </c>
      <c r="P51" s="997">
        <v>7.2</v>
      </c>
      <c r="Q51" s="998">
        <v>7.2</v>
      </c>
      <c r="R51" s="998">
        <v>7.1</v>
      </c>
      <c r="S51" s="998">
        <v>1.4</v>
      </c>
      <c r="T51" s="998">
        <v>7.1</v>
      </c>
      <c r="U51" s="998">
        <v>7.2</v>
      </c>
      <c r="V51" s="999">
        <v>6.7</v>
      </c>
      <c r="W51" s="1014">
        <f t="shared" ref="W51" si="27">SUM(B51:V51)</f>
        <v>130.20000000000002</v>
      </c>
    </row>
    <row r="52" spans="1:25" x14ac:dyDescent="0.25">
      <c r="A52" s="808" t="s">
        <v>51</v>
      </c>
      <c r="B52" s="893">
        <v>7</v>
      </c>
      <c r="C52" s="894">
        <v>6.5</v>
      </c>
      <c r="D52" s="894">
        <v>6.8</v>
      </c>
      <c r="E52" s="894">
        <v>1.3</v>
      </c>
      <c r="F52" s="894">
        <v>6.9</v>
      </c>
      <c r="G52" s="894">
        <v>6.9</v>
      </c>
      <c r="H52" s="895">
        <v>6.9</v>
      </c>
      <c r="I52" s="893">
        <v>7.1</v>
      </c>
      <c r="J52" s="894">
        <v>7.1</v>
      </c>
      <c r="K52" s="894">
        <v>7.3</v>
      </c>
      <c r="L52" s="894">
        <v>1.5</v>
      </c>
      <c r="M52" s="986">
        <v>6.9</v>
      </c>
      <c r="N52" s="894">
        <v>7.2</v>
      </c>
      <c r="O52" s="895">
        <v>6.9</v>
      </c>
      <c r="P52" s="893">
        <v>7.2</v>
      </c>
      <c r="Q52" s="894">
        <v>7.2</v>
      </c>
      <c r="R52" s="894">
        <v>7.1</v>
      </c>
      <c r="S52" s="894">
        <v>1.4</v>
      </c>
      <c r="T52" s="894">
        <v>7.1</v>
      </c>
      <c r="U52" s="894">
        <v>7.2</v>
      </c>
      <c r="V52" s="895">
        <v>6.7</v>
      </c>
      <c r="W52" s="896">
        <f t="shared" ref="W52:W58" si="28">SUM(B52:V52)</f>
        <v>130.20000000000002</v>
      </c>
      <c r="X52" s="815">
        <f>W52-W51</f>
        <v>0</v>
      </c>
      <c r="Y52" s="815"/>
    </row>
    <row r="53" spans="1:25" x14ac:dyDescent="0.25">
      <c r="A53" s="808" t="s">
        <v>24</v>
      </c>
      <c r="B53" s="893">
        <v>6.9</v>
      </c>
      <c r="C53" s="894">
        <v>6.5</v>
      </c>
      <c r="D53" s="894">
        <v>6.8</v>
      </c>
      <c r="E53" s="894">
        <v>1.3</v>
      </c>
      <c r="F53" s="894">
        <v>6.7</v>
      </c>
      <c r="G53" s="894">
        <v>6.7</v>
      </c>
      <c r="H53" s="895">
        <v>6.8</v>
      </c>
      <c r="I53" s="893">
        <v>7.1</v>
      </c>
      <c r="J53" s="894">
        <v>7.1</v>
      </c>
      <c r="K53" s="894">
        <v>7.3</v>
      </c>
      <c r="L53" s="894">
        <v>1.4</v>
      </c>
      <c r="M53" s="986">
        <v>6.9</v>
      </c>
      <c r="N53" s="894">
        <v>7.2</v>
      </c>
      <c r="O53" s="895">
        <v>6.8</v>
      </c>
      <c r="P53" s="893">
        <v>7.2</v>
      </c>
      <c r="Q53" s="894">
        <v>7.2</v>
      </c>
      <c r="R53" s="894">
        <v>7</v>
      </c>
      <c r="S53" s="894">
        <v>1.4</v>
      </c>
      <c r="T53" s="894">
        <v>7</v>
      </c>
      <c r="U53" s="894">
        <v>7.2</v>
      </c>
      <c r="V53" s="895">
        <v>6.7</v>
      </c>
      <c r="W53" s="896">
        <f t="shared" si="28"/>
        <v>129.20000000000002</v>
      </c>
      <c r="X53" s="815">
        <f>W53-W52</f>
        <v>-1</v>
      </c>
      <c r="Y53" s="815"/>
    </row>
    <row r="54" spans="1:25" x14ac:dyDescent="0.25">
      <c r="A54" s="808" t="s">
        <v>20</v>
      </c>
      <c r="B54" s="893">
        <v>7</v>
      </c>
      <c r="C54" s="894">
        <v>6.5</v>
      </c>
      <c r="D54" s="894">
        <v>6.8</v>
      </c>
      <c r="E54" s="894">
        <v>1.3</v>
      </c>
      <c r="F54" s="894">
        <v>6.8</v>
      </c>
      <c r="G54" s="894">
        <v>6.7</v>
      </c>
      <c r="H54" s="895">
        <v>6.9</v>
      </c>
      <c r="I54" s="893">
        <v>7.2</v>
      </c>
      <c r="J54" s="894">
        <v>7.2</v>
      </c>
      <c r="K54" s="894">
        <v>7.3</v>
      </c>
      <c r="L54" s="894">
        <v>1.4</v>
      </c>
      <c r="M54" s="986">
        <v>7</v>
      </c>
      <c r="N54" s="894">
        <v>7.2</v>
      </c>
      <c r="O54" s="895">
        <v>6.9</v>
      </c>
      <c r="P54" s="893">
        <v>7.2</v>
      </c>
      <c r="Q54" s="894">
        <v>7.2</v>
      </c>
      <c r="R54" s="894">
        <v>7.1</v>
      </c>
      <c r="S54" s="894">
        <v>1.4</v>
      </c>
      <c r="T54" s="894">
        <v>7.1</v>
      </c>
      <c r="U54" s="894">
        <v>7.2</v>
      </c>
      <c r="V54" s="895">
        <v>6.7</v>
      </c>
      <c r="W54" s="896">
        <f t="shared" si="28"/>
        <v>130.10000000000002</v>
      </c>
      <c r="X54" s="815">
        <f t="shared" ref="X54:X58" si="29">W54-W53</f>
        <v>0.90000000000000568</v>
      </c>
      <c r="Y54" s="815"/>
    </row>
    <row r="55" spans="1:25" x14ac:dyDescent="0.25">
      <c r="A55" s="808" t="s">
        <v>28</v>
      </c>
      <c r="B55" s="893">
        <v>7</v>
      </c>
      <c r="C55" s="894">
        <v>6.5</v>
      </c>
      <c r="D55" s="894">
        <v>6.8</v>
      </c>
      <c r="E55" s="894">
        <v>1.3</v>
      </c>
      <c r="F55" s="894">
        <v>6.8</v>
      </c>
      <c r="G55" s="894">
        <v>6.7</v>
      </c>
      <c r="H55" s="895">
        <v>6.9</v>
      </c>
      <c r="I55" s="893">
        <v>7.2</v>
      </c>
      <c r="J55" s="894">
        <v>7.2</v>
      </c>
      <c r="K55" s="894">
        <v>7.3</v>
      </c>
      <c r="L55" s="894">
        <v>1.4</v>
      </c>
      <c r="M55" s="986">
        <v>7</v>
      </c>
      <c r="N55" s="894">
        <v>7.2</v>
      </c>
      <c r="O55" s="895">
        <v>6.9</v>
      </c>
      <c r="P55" s="893">
        <v>7.3</v>
      </c>
      <c r="Q55" s="894">
        <v>7.3</v>
      </c>
      <c r="R55" s="894">
        <v>7.1</v>
      </c>
      <c r="S55" s="894">
        <v>1.4</v>
      </c>
      <c r="T55" s="894">
        <v>7.1</v>
      </c>
      <c r="U55" s="894">
        <v>7.2</v>
      </c>
      <c r="V55" s="895">
        <v>6.7</v>
      </c>
      <c r="W55" s="896">
        <f t="shared" si="28"/>
        <v>130.30000000000001</v>
      </c>
      <c r="X55" s="815">
        <f t="shared" si="29"/>
        <v>0.19999999999998863</v>
      </c>
      <c r="Y55" s="815"/>
    </row>
    <row r="56" spans="1:25" x14ac:dyDescent="0.25">
      <c r="A56" s="808" t="s">
        <v>21</v>
      </c>
      <c r="B56" s="893">
        <v>7</v>
      </c>
      <c r="C56" s="894">
        <v>6.5</v>
      </c>
      <c r="D56" s="894">
        <v>6.8</v>
      </c>
      <c r="E56" s="894">
        <v>1.3</v>
      </c>
      <c r="F56" s="894">
        <v>6.8</v>
      </c>
      <c r="G56" s="894">
        <v>6.7</v>
      </c>
      <c r="H56" s="895">
        <v>7</v>
      </c>
      <c r="I56" s="893">
        <v>7.2</v>
      </c>
      <c r="J56" s="894">
        <v>7.2</v>
      </c>
      <c r="K56" s="894">
        <v>7.3</v>
      </c>
      <c r="L56" s="894">
        <v>1.5</v>
      </c>
      <c r="M56" s="986">
        <v>7</v>
      </c>
      <c r="N56" s="894">
        <v>7.3</v>
      </c>
      <c r="O56" s="895">
        <v>7</v>
      </c>
      <c r="P56" s="893">
        <v>7.3</v>
      </c>
      <c r="Q56" s="894">
        <v>7.3</v>
      </c>
      <c r="R56" s="894">
        <v>7.2</v>
      </c>
      <c r="S56" s="894">
        <v>1.5</v>
      </c>
      <c r="T56" s="894">
        <v>7.2</v>
      </c>
      <c r="U56" s="894">
        <v>7.2</v>
      </c>
      <c r="V56" s="895">
        <v>6.8</v>
      </c>
      <c r="W56" s="896">
        <f t="shared" si="28"/>
        <v>131.10000000000002</v>
      </c>
      <c r="X56" s="815">
        <f t="shared" si="29"/>
        <v>0.80000000000001137</v>
      </c>
      <c r="Y56" s="815"/>
    </row>
    <row r="57" spans="1:25" x14ac:dyDescent="0.25">
      <c r="A57" s="808" t="s">
        <v>22</v>
      </c>
      <c r="B57" s="893">
        <v>7</v>
      </c>
      <c r="C57" s="894">
        <v>6.5</v>
      </c>
      <c r="D57" s="894">
        <v>6.8</v>
      </c>
      <c r="E57" s="894">
        <v>1.3</v>
      </c>
      <c r="F57" s="894">
        <v>6.8</v>
      </c>
      <c r="G57" s="894">
        <v>6.8</v>
      </c>
      <c r="H57" s="895">
        <v>7</v>
      </c>
      <c r="I57" s="893">
        <v>7.2</v>
      </c>
      <c r="J57" s="894">
        <v>7.2</v>
      </c>
      <c r="K57" s="894">
        <v>7.3</v>
      </c>
      <c r="L57" s="894">
        <v>1.5</v>
      </c>
      <c r="M57" s="986">
        <v>7</v>
      </c>
      <c r="N57" s="894">
        <v>7.3</v>
      </c>
      <c r="O57" s="895">
        <v>7</v>
      </c>
      <c r="P57" s="893">
        <v>7.3</v>
      </c>
      <c r="Q57" s="894">
        <v>7.3</v>
      </c>
      <c r="R57" s="894">
        <v>7.2</v>
      </c>
      <c r="S57" s="894">
        <v>1.5</v>
      </c>
      <c r="T57" s="894">
        <v>7.2</v>
      </c>
      <c r="U57" s="894">
        <v>7.3</v>
      </c>
      <c r="V57" s="895">
        <v>6.8</v>
      </c>
      <c r="W57" s="896">
        <f t="shared" si="28"/>
        <v>131.30000000000001</v>
      </c>
      <c r="X57" s="815">
        <f t="shared" si="29"/>
        <v>0.19999999999998863</v>
      </c>
      <c r="Y57" s="815"/>
    </row>
    <row r="58" spans="1:25" ht="15.75" thickBot="1" x14ac:dyDescent="0.3">
      <c r="A58" s="808" t="s">
        <v>23</v>
      </c>
      <c r="B58" s="893">
        <v>7</v>
      </c>
      <c r="C58" s="894">
        <v>6.5</v>
      </c>
      <c r="D58" s="894">
        <v>6.8</v>
      </c>
      <c r="E58" s="894">
        <v>1.3</v>
      </c>
      <c r="F58" s="894">
        <v>6.8</v>
      </c>
      <c r="G58" s="894">
        <v>6.8</v>
      </c>
      <c r="H58" s="895">
        <v>7</v>
      </c>
      <c r="I58" s="893">
        <v>7.2</v>
      </c>
      <c r="J58" s="894">
        <v>7.2</v>
      </c>
      <c r="K58" s="894">
        <v>7.4</v>
      </c>
      <c r="L58" s="894">
        <v>1.5</v>
      </c>
      <c r="M58" s="986">
        <v>7</v>
      </c>
      <c r="N58" s="894">
        <v>7.3</v>
      </c>
      <c r="O58" s="895">
        <v>7</v>
      </c>
      <c r="P58" s="893">
        <v>7.3</v>
      </c>
      <c r="Q58" s="894">
        <v>7.3</v>
      </c>
      <c r="R58" s="894">
        <v>7.2</v>
      </c>
      <c r="S58" s="894">
        <v>1.6</v>
      </c>
      <c r="T58" s="894">
        <v>7.2</v>
      </c>
      <c r="U58" s="894">
        <v>7.3</v>
      </c>
      <c r="V58" s="895">
        <v>6.8</v>
      </c>
      <c r="W58" s="896">
        <f t="shared" si="28"/>
        <v>131.5</v>
      </c>
      <c r="X58" s="815">
        <f t="shared" si="29"/>
        <v>0.19999999999998863</v>
      </c>
      <c r="Y58" s="815"/>
    </row>
    <row r="59" spans="1:25" x14ac:dyDescent="0.25">
      <c r="A59" s="800" t="s">
        <v>9</v>
      </c>
      <c r="B59" s="873">
        <f>SUM(B52:B58)</f>
        <v>48.9</v>
      </c>
      <c r="C59" s="874">
        <f>SUM(C52:C58)</f>
        <v>45.5</v>
      </c>
      <c r="D59" s="874">
        <f t="shared" ref="D59:V59" si="30">SUM(D52:D58)</f>
        <v>47.599999999999994</v>
      </c>
      <c r="E59" s="874">
        <f t="shared" si="30"/>
        <v>9.1</v>
      </c>
      <c r="F59" s="874">
        <f t="shared" si="30"/>
        <v>47.599999999999994</v>
      </c>
      <c r="G59" s="874">
        <f t="shared" si="30"/>
        <v>47.3</v>
      </c>
      <c r="H59" s="900">
        <f t="shared" si="30"/>
        <v>48.5</v>
      </c>
      <c r="I59" s="901">
        <f t="shared" si="30"/>
        <v>50.2</v>
      </c>
      <c r="J59" s="874">
        <f t="shared" si="30"/>
        <v>50.2</v>
      </c>
      <c r="K59" s="874">
        <f t="shared" si="30"/>
        <v>51.199999999999996</v>
      </c>
      <c r="L59" s="874">
        <f t="shared" si="30"/>
        <v>10.199999999999999</v>
      </c>
      <c r="M59" s="874">
        <f t="shared" si="30"/>
        <v>48.8</v>
      </c>
      <c r="N59" s="874">
        <f t="shared" si="30"/>
        <v>50.699999999999996</v>
      </c>
      <c r="O59" s="902">
        <f t="shared" si="30"/>
        <v>48.5</v>
      </c>
      <c r="P59" s="824">
        <f t="shared" si="30"/>
        <v>50.8</v>
      </c>
      <c r="Q59" s="825">
        <f t="shared" si="30"/>
        <v>50.8</v>
      </c>
      <c r="R59" s="825">
        <f t="shared" si="30"/>
        <v>49.900000000000006</v>
      </c>
      <c r="S59" s="825">
        <f t="shared" si="30"/>
        <v>10.199999999999999</v>
      </c>
      <c r="T59" s="825">
        <f t="shared" si="30"/>
        <v>49.900000000000006</v>
      </c>
      <c r="U59" s="825">
        <f t="shared" si="30"/>
        <v>50.599999999999994</v>
      </c>
      <c r="V59" s="826">
        <f t="shared" si="30"/>
        <v>47.199999999999996</v>
      </c>
      <c r="W59" s="903">
        <f>SUM(W52:W58)</f>
        <v>913.7</v>
      </c>
    </row>
    <row r="60" spans="1:25" x14ac:dyDescent="0.25">
      <c r="A60" s="828" t="s">
        <v>11</v>
      </c>
      <c r="B60" s="1006">
        <v>162.5</v>
      </c>
      <c r="C60" s="876">
        <v>162.5</v>
      </c>
      <c r="D60" s="876">
        <v>162</v>
      </c>
      <c r="E60" s="876">
        <v>162</v>
      </c>
      <c r="F60" s="876">
        <v>162</v>
      </c>
      <c r="G60" s="876">
        <v>161</v>
      </c>
      <c r="H60" s="1007">
        <v>161</v>
      </c>
      <c r="I60" s="1006">
        <v>163</v>
      </c>
      <c r="J60" s="876">
        <v>163</v>
      </c>
      <c r="K60" s="876">
        <v>162.5</v>
      </c>
      <c r="L60" s="876">
        <v>162.5</v>
      </c>
      <c r="M60" s="876">
        <v>162</v>
      </c>
      <c r="N60" s="876">
        <v>161</v>
      </c>
      <c r="O60" s="905">
        <v>161</v>
      </c>
      <c r="P60" s="1006">
        <v>165</v>
      </c>
      <c r="Q60" s="876">
        <v>165</v>
      </c>
      <c r="R60" s="876">
        <v>162</v>
      </c>
      <c r="S60" s="876">
        <v>162</v>
      </c>
      <c r="T60" s="876">
        <v>162</v>
      </c>
      <c r="U60" s="876">
        <v>160.5</v>
      </c>
      <c r="V60" s="1007">
        <v>160.5</v>
      </c>
      <c r="W60" s="906">
        <f>((W59/W61)/7)*1000</f>
        <v>162.14729370008874</v>
      </c>
    </row>
    <row r="61" spans="1:25" x14ac:dyDescent="0.25">
      <c r="A61" s="833" t="s">
        <v>12</v>
      </c>
      <c r="B61" s="834">
        <v>43</v>
      </c>
      <c r="C61" s="835">
        <v>40</v>
      </c>
      <c r="D61" s="835">
        <v>42</v>
      </c>
      <c r="E61" s="835">
        <v>8</v>
      </c>
      <c r="F61" s="835">
        <v>42</v>
      </c>
      <c r="G61" s="835">
        <v>42</v>
      </c>
      <c r="H61" s="836">
        <v>43</v>
      </c>
      <c r="I61" s="907">
        <v>44</v>
      </c>
      <c r="J61" s="835">
        <v>44</v>
      </c>
      <c r="K61" s="835">
        <v>45</v>
      </c>
      <c r="L61" s="835">
        <v>9</v>
      </c>
      <c r="M61" s="835">
        <v>43</v>
      </c>
      <c r="N61" s="835">
        <v>45</v>
      </c>
      <c r="O61" s="908">
        <v>43</v>
      </c>
      <c r="P61" s="834">
        <v>44</v>
      </c>
      <c r="Q61" s="835">
        <v>44</v>
      </c>
      <c r="R61" s="835">
        <v>44</v>
      </c>
      <c r="S61" s="835">
        <v>9</v>
      </c>
      <c r="T61" s="835">
        <v>44</v>
      </c>
      <c r="U61" s="835">
        <v>45</v>
      </c>
      <c r="V61" s="836">
        <v>42</v>
      </c>
      <c r="W61" s="909">
        <f>SUM(B61:V61)</f>
        <v>805</v>
      </c>
    </row>
    <row r="62" spans="1:25" x14ac:dyDescent="0.25">
      <c r="A62" s="838" t="s">
        <v>13</v>
      </c>
      <c r="B62" s="839">
        <f t="shared" ref="B62:V62" si="31">((((B60*7)*B61)/1000-B52-B53)/5)</f>
        <v>7.0025000000000004</v>
      </c>
      <c r="C62" s="839">
        <f t="shared" si="31"/>
        <v>6.5</v>
      </c>
      <c r="D62" s="839">
        <f t="shared" si="31"/>
        <v>6.805600000000001</v>
      </c>
      <c r="E62" s="839">
        <f t="shared" si="31"/>
        <v>1.2944</v>
      </c>
      <c r="F62" s="839">
        <f t="shared" si="31"/>
        <v>6.8056000000000001</v>
      </c>
      <c r="G62" s="839">
        <f t="shared" si="31"/>
        <v>6.7468000000000004</v>
      </c>
      <c r="H62" s="839">
        <f t="shared" si="31"/>
        <v>6.9522000000000004</v>
      </c>
      <c r="I62" s="839">
        <f t="shared" si="31"/>
        <v>7.2007999999999992</v>
      </c>
      <c r="J62" s="839">
        <f t="shared" si="31"/>
        <v>7.2007999999999992</v>
      </c>
      <c r="K62" s="839">
        <f t="shared" si="31"/>
        <v>7.3175000000000008</v>
      </c>
      <c r="L62" s="839">
        <f t="shared" si="31"/>
        <v>1.4675</v>
      </c>
      <c r="M62" s="839">
        <f t="shared" si="31"/>
        <v>6.9924000000000008</v>
      </c>
      <c r="N62" s="839">
        <f t="shared" si="31"/>
        <v>7.2629999999999999</v>
      </c>
      <c r="O62" s="910">
        <f t="shared" si="31"/>
        <v>6.9522000000000004</v>
      </c>
      <c r="P62" s="839">
        <f t="shared" si="31"/>
        <v>7.2839999999999989</v>
      </c>
      <c r="Q62" s="839">
        <f t="shared" si="31"/>
        <v>7.2839999999999989</v>
      </c>
      <c r="R62" s="839">
        <f t="shared" si="31"/>
        <v>7.1592000000000002</v>
      </c>
      <c r="S62" s="839">
        <f t="shared" si="31"/>
        <v>1.4811999999999999</v>
      </c>
      <c r="T62" s="839">
        <f t="shared" si="31"/>
        <v>7.1592000000000002</v>
      </c>
      <c r="U62" s="839">
        <f t="shared" si="31"/>
        <v>7.2314999999999987</v>
      </c>
      <c r="V62" s="911">
        <f t="shared" si="31"/>
        <v>6.7573999999999987</v>
      </c>
      <c r="W62" s="912">
        <f>((W59*1000)/7)/W61</f>
        <v>162.14729370008874</v>
      </c>
    </row>
    <row r="63" spans="1:25" x14ac:dyDescent="0.25">
      <c r="A63" s="841" t="s">
        <v>14</v>
      </c>
      <c r="B63" s="839">
        <f>((B61*B60)*7)/1000</f>
        <v>48.912500000000001</v>
      </c>
      <c r="C63" s="842">
        <f>((C61*C60)*7)/1000</f>
        <v>45.5</v>
      </c>
      <c r="D63" s="842">
        <f t="shared" ref="D63:V63" si="32">((D61*D60)*7)/1000</f>
        <v>47.628</v>
      </c>
      <c r="E63" s="842">
        <f t="shared" si="32"/>
        <v>9.0719999999999992</v>
      </c>
      <c r="F63" s="842">
        <f t="shared" si="32"/>
        <v>47.628</v>
      </c>
      <c r="G63" s="842">
        <f t="shared" si="32"/>
        <v>47.334000000000003</v>
      </c>
      <c r="H63" s="843">
        <f t="shared" si="32"/>
        <v>48.460999999999999</v>
      </c>
      <c r="I63" s="913">
        <f t="shared" si="32"/>
        <v>50.204000000000001</v>
      </c>
      <c r="J63" s="842">
        <f t="shared" si="32"/>
        <v>50.204000000000001</v>
      </c>
      <c r="K63" s="842">
        <f t="shared" si="32"/>
        <v>51.1875</v>
      </c>
      <c r="L63" s="842">
        <f t="shared" si="32"/>
        <v>10.237500000000001</v>
      </c>
      <c r="M63" s="842">
        <f t="shared" si="32"/>
        <v>48.762</v>
      </c>
      <c r="N63" s="842">
        <f t="shared" si="32"/>
        <v>50.715000000000003</v>
      </c>
      <c r="O63" s="914">
        <f t="shared" si="32"/>
        <v>48.460999999999999</v>
      </c>
      <c r="P63" s="839">
        <f t="shared" si="32"/>
        <v>50.82</v>
      </c>
      <c r="Q63" s="842">
        <f t="shared" si="32"/>
        <v>50.82</v>
      </c>
      <c r="R63" s="842">
        <f t="shared" si="32"/>
        <v>49.896000000000001</v>
      </c>
      <c r="S63" s="842">
        <f t="shared" si="32"/>
        <v>10.206</v>
      </c>
      <c r="T63" s="842">
        <f t="shared" si="32"/>
        <v>49.896000000000001</v>
      </c>
      <c r="U63" s="842">
        <f t="shared" si="32"/>
        <v>50.557499999999997</v>
      </c>
      <c r="V63" s="843">
        <f t="shared" si="32"/>
        <v>47.186999999999998</v>
      </c>
      <c r="W63" s="915"/>
    </row>
    <row r="64" spans="1:25" ht="15.75" thickBot="1" x14ac:dyDescent="0.3">
      <c r="A64" s="887" t="s">
        <v>15</v>
      </c>
      <c r="B64" s="846">
        <f>+(B59/B61)/7*1000</f>
        <v>162.45847176079732</v>
      </c>
      <c r="C64" s="847">
        <f t="shared" ref="C64:V64" si="33">+(C59/C61)/7*1000</f>
        <v>162.5</v>
      </c>
      <c r="D64" s="847">
        <f t="shared" si="33"/>
        <v>161.90476190476193</v>
      </c>
      <c r="E64" s="847">
        <f>+(E59/E61)/7*1000</f>
        <v>162.5</v>
      </c>
      <c r="F64" s="847">
        <f t="shared" si="33"/>
        <v>161.90476190476193</v>
      </c>
      <c r="G64" s="847">
        <f t="shared" si="33"/>
        <v>160.8843537414966</v>
      </c>
      <c r="H64" s="848">
        <f t="shared" si="33"/>
        <v>161.12956810631229</v>
      </c>
      <c r="I64" s="916">
        <f t="shared" si="33"/>
        <v>162.98701298701297</v>
      </c>
      <c r="J64" s="847">
        <f t="shared" si="33"/>
        <v>162.98701298701297</v>
      </c>
      <c r="K64" s="847">
        <f t="shared" si="33"/>
        <v>162.53968253968253</v>
      </c>
      <c r="L64" s="847">
        <f t="shared" si="33"/>
        <v>161.90476190476193</v>
      </c>
      <c r="M64" s="847">
        <f t="shared" si="33"/>
        <v>162.12624584717608</v>
      </c>
      <c r="N64" s="847">
        <f t="shared" si="33"/>
        <v>160.95238095238093</v>
      </c>
      <c r="O64" s="917">
        <f t="shared" si="33"/>
        <v>161.12956810631229</v>
      </c>
      <c r="P64" s="846">
        <f t="shared" si="33"/>
        <v>164.93506493506493</v>
      </c>
      <c r="Q64" s="847">
        <f t="shared" si="33"/>
        <v>164.93506493506493</v>
      </c>
      <c r="R64" s="847">
        <f t="shared" si="33"/>
        <v>162.01298701298703</v>
      </c>
      <c r="S64" s="847">
        <f t="shared" si="33"/>
        <v>161.90476190476193</v>
      </c>
      <c r="T64" s="847">
        <f t="shared" si="33"/>
        <v>162.01298701298703</v>
      </c>
      <c r="U64" s="847">
        <f t="shared" si="33"/>
        <v>160.63492063492063</v>
      </c>
      <c r="V64" s="848">
        <f t="shared" si="33"/>
        <v>160.54421768707482</v>
      </c>
      <c r="W64" s="918"/>
    </row>
    <row r="65" spans="1:24" x14ac:dyDescent="0.25">
      <c r="A65" s="779"/>
      <c r="B65" s="850">
        <f t="shared" ref="B65:V65" si="34">B63-B59</f>
        <v>1.2500000000002842E-2</v>
      </c>
      <c r="C65" s="850">
        <f t="shared" si="34"/>
        <v>0</v>
      </c>
      <c r="D65" s="850">
        <f t="shared" si="34"/>
        <v>2.8000000000005798E-2</v>
      </c>
      <c r="E65" s="850">
        <f t="shared" si="34"/>
        <v>-2.8000000000000469E-2</v>
      </c>
      <c r="F65" s="850">
        <f t="shared" si="34"/>
        <v>2.8000000000005798E-2</v>
      </c>
      <c r="G65" s="850">
        <f t="shared" si="34"/>
        <v>3.4000000000006025E-2</v>
      </c>
      <c r="H65" s="850">
        <f t="shared" si="34"/>
        <v>-3.9000000000001478E-2</v>
      </c>
      <c r="I65" s="850">
        <f t="shared" si="34"/>
        <v>3.9999999999977831E-3</v>
      </c>
      <c r="J65" s="850">
        <f t="shared" si="34"/>
        <v>3.9999999999977831E-3</v>
      </c>
      <c r="K65" s="850">
        <f t="shared" si="34"/>
        <v>-1.2499999999995737E-2</v>
      </c>
      <c r="L65" s="850">
        <f t="shared" si="34"/>
        <v>3.7500000000001421E-2</v>
      </c>
      <c r="M65" s="850">
        <f t="shared" si="34"/>
        <v>-3.7999999999996703E-2</v>
      </c>
      <c r="N65" s="850">
        <f t="shared" si="34"/>
        <v>1.5000000000007674E-2</v>
      </c>
      <c r="O65" s="850">
        <f t="shared" si="34"/>
        <v>-3.9000000000001478E-2</v>
      </c>
      <c r="P65" s="850">
        <f t="shared" si="34"/>
        <v>2.0000000000003126E-2</v>
      </c>
      <c r="Q65" s="850">
        <f t="shared" si="34"/>
        <v>2.0000000000003126E-2</v>
      </c>
      <c r="R65" s="850">
        <f t="shared" si="34"/>
        <v>-4.0000000000048885E-3</v>
      </c>
      <c r="S65" s="850">
        <f t="shared" si="34"/>
        <v>6.0000000000002274E-3</v>
      </c>
      <c r="T65" s="850">
        <f t="shared" si="34"/>
        <v>-4.0000000000048885E-3</v>
      </c>
      <c r="U65" s="850">
        <f t="shared" si="34"/>
        <v>-4.2499999999996874E-2</v>
      </c>
      <c r="V65" s="850">
        <f t="shared" si="34"/>
        <v>-1.2999999999998124E-2</v>
      </c>
    </row>
    <row r="66" spans="1:24" x14ac:dyDescent="0.25">
      <c r="A66" s="779"/>
      <c r="B66" s="922">
        <f t="shared" ref="B66:V66" si="35">(B65+B68)/$A$2</f>
        <v>2.0833333333338069E-3</v>
      </c>
      <c r="C66" s="922">
        <f t="shared" si="35"/>
        <v>0</v>
      </c>
      <c r="D66" s="922">
        <f t="shared" si="35"/>
        <v>4.6666666666676333E-3</v>
      </c>
      <c r="E66" s="922">
        <f t="shared" si="35"/>
        <v>-4.6666666666667451E-3</v>
      </c>
      <c r="F66" s="922">
        <f t="shared" si="35"/>
        <v>4.6666666666676333E-3</v>
      </c>
      <c r="G66" s="922">
        <f t="shared" si="35"/>
        <v>5.6666666666676706E-3</v>
      </c>
      <c r="H66" s="922">
        <f t="shared" si="35"/>
        <v>-6.500000000000246E-3</v>
      </c>
      <c r="I66" s="922">
        <f t="shared" si="35"/>
        <v>6.6666666666629715E-4</v>
      </c>
      <c r="J66" s="922">
        <f t="shared" si="35"/>
        <v>6.6666666666629715E-4</v>
      </c>
      <c r="K66" s="922">
        <f t="shared" si="35"/>
        <v>-2.0833333333326229E-3</v>
      </c>
      <c r="L66" s="922">
        <f t="shared" si="35"/>
        <v>6.2500000000002371E-3</v>
      </c>
      <c r="M66" s="922">
        <f t="shared" si="35"/>
        <v>-6.3333333333327841E-3</v>
      </c>
      <c r="N66" s="922">
        <f t="shared" si="35"/>
        <v>2.500000000001279E-3</v>
      </c>
      <c r="O66" s="922">
        <f t="shared" si="35"/>
        <v>-6.500000000000246E-3</v>
      </c>
      <c r="P66" s="922">
        <f t="shared" si="35"/>
        <v>3.3333333333338544E-3</v>
      </c>
      <c r="Q66" s="922">
        <f t="shared" si="35"/>
        <v>3.3333333333338544E-3</v>
      </c>
      <c r="R66" s="922">
        <f t="shared" si="35"/>
        <v>-6.6666666666748142E-4</v>
      </c>
      <c r="S66" s="922">
        <f t="shared" si="35"/>
        <v>1.000000000000038E-3</v>
      </c>
      <c r="T66" s="922">
        <f t="shared" si="35"/>
        <v>-6.6666666666748142E-4</v>
      </c>
      <c r="U66" s="922">
        <f t="shared" si="35"/>
        <v>-7.0833333333328126E-3</v>
      </c>
      <c r="V66" s="922">
        <f t="shared" si="35"/>
        <v>-2.1666666666663539E-3</v>
      </c>
    </row>
    <row r="67" spans="1:24" x14ac:dyDescent="0.25">
      <c r="B67" s="922">
        <f>B66 + SUMIF($A$52:$A$58, $A$3,B52:B58)</f>
        <v>6.9020833333333345</v>
      </c>
      <c r="C67" s="922">
        <f t="shared" ref="C67:V67" si="36">C66 + SUMIF($A$52:$A$58, $A$3,C52:C58)</f>
        <v>6.5</v>
      </c>
      <c r="D67" s="922">
        <f t="shared" si="36"/>
        <v>6.8046666666666678</v>
      </c>
      <c r="E67" s="922">
        <f t="shared" si="36"/>
        <v>1.2953333333333332</v>
      </c>
      <c r="F67" s="922">
        <f t="shared" si="36"/>
        <v>6.7046666666666681</v>
      </c>
      <c r="G67" s="922">
        <f t="shared" si="36"/>
        <v>6.7056666666666676</v>
      </c>
      <c r="H67" s="922">
        <f t="shared" si="36"/>
        <v>6.7934999999999999</v>
      </c>
      <c r="I67" s="922">
        <f t="shared" si="36"/>
        <v>7.1006666666666662</v>
      </c>
      <c r="J67" s="922">
        <f t="shared" si="36"/>
        <v>7.1006666666666662</v>
      </c>
      <c r="K67" s="922">
        <f t="shared" si="36"/>
        <v>7.2979166666666675</v>
      </c>
      <c r="L67" s="922">
        <f t="shared" si="36"/>
        <v>1.4062500000000002</v>
      </c>
      <c r="M67" s="922">
        <f t="shared" si="36"/>
        <v>6.8936666666666673</v>
      </c>
      <c r="N67" s="922">
        <f t="shared" si="36"/>
        <v>7.2025000000000015</v>
      </c>
      <c r="O67" s="922">
        <f t="shared" si="36"/>
        <v>6.7934999999999999</v>
      </c>
      <c r="P67" s="922">
        <f t="shared" si="36"/>
        <v>7.203333333333334</v>
      </c>
      <c r="Q67" s="922">
        <f t="shared" si="36"/>
        <v>7.203333333333334</v>
      </c>
      <c r="R67" s="922">
        <f t="shared" si="36"/>
        <v>6.9993333333333325</v>
      </c>
      <c r="S67" s="922">
        <f t="shared" si="36"/>
        <v>1.401</v>
      </c>
      <c r="T67" s="922">
        <f t="shared" si="36"/>
        <v>6.9993333333333325</v>
      </c>
      <c r="U67" s="922">
        <f t="shared" si="36"/>
        <v>7.1929166666666671</v>
      </c>
      <c r="V67" s="922">
        <f t="shared" si="36"/>
        <v>6.6978333333333335</v>
      </c>
    </row>
    <row r="68" spans="1:24" x14ac:dyDescent="0.25">
      <c r="A68" s="779"/>
    </row>
    <row r="69" spans="1:24" x14ac:dyDescent="0.25">
      <c r="A69" s="779"/>
      <c r="B69" s="861"/>
      <c r="C69" s="861"/>
      <c r="D69" s="861"/>
      <c r="E69" s="861"/>
      <c r="F69" s="861"/>
      <c r="G69" s="861"/>
      <c r="H69" s="861"/>
      <c r="I69" s="861"/>
      <c r="J69" s="861"/>
      <c r="K69" s="861"/>
      <c r="L69" s="861"/>
      <c r="M69" s="861"/>
      <c r="N69" s="861"/>
      <c r="O69" s="861"/>
      <c r="P69" s="861"/>
      <c r="Q69" s="861"/>
      <c r="R69" s="861"/>
      <c r="S69" s="861"/>
      <c r="T69" s="861"/>
      <c r="U69" s="861"/>
      <c r="V69" s="861"/>
      <c r="W69" s="861"/>
      <c r="X69" s="861"/>
    </row>
  </sheetData>
  <mergeCells count="28">
    <mergeCell ref="P2:R2"/>
    <mergeCell ref="U2:V2"/>
    <mergeCell ref="T3:U3"/>
    <mergeCell ref="V3:W3"/>
    <mergeCell ref="B5:H5"/>
    <mergeCell ref="I5:O5"/>
    <mergeCell ref="P5:V5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</mergeCells>
  <dataValidations count="1">
    <dataValidation type="list" allowBlank="1" showInputMessage="1" showErrorMessage="1" sqref="A3" xr:uid="{00000000-0002-0000-5200-000000000000}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1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123"/>
      <c r="C1" s="1125" t="s">
        <v>36</v>
      </c>
      <c r="D1" s="1125"/>
      <c r="E1" s="1125"/>
      <c r="F1" s="1125"/>
      <c r="G1" s="1125"/>
      <c r="H1" s="1125"/>
      <c r="I1" s="1125"/>
      <c r="J1" s="1125"/>
      <c r="K1" s="1125"/>
      <c r="L1" s="1125"/>
      <c r="M1" s="1125"/>
      <c r="N1" s="1125"/>
      <c r="O1" s="1125"/>
      <c r="P1" s="1125"/>
      <c r="Q1" s="1125"/>
      <c r="R1" s="1125"/>
      <c r="S1" s="1125"/>
      <c r="T1" s="1125"/>
      <c r="U1" s="1125"/>
      <c r="V1" s="1125"/>
      <c r="W1" s="1126"/>
      <c r="X1" s="1127" t="s">
        <v>37</v>
      </c>
      <c r="Y1" s="1128"/>
    </row>
    <row r="2" spans="1:28" x14ac:dyDescent="0.55000000000000004">
      <c r="A2" s="577"/>
      <c r="B2" s="1124"/>
      <c r="C2" s="1129" t="s">
        <v>38</v>
      </c>
      <c r="D2" s="1129"/>
      <c r="E2" s="1129"/>
      <c r="F2" s="1129"/>
      <c r="G2" s="1129"/>
      <c r="H2" s="1129"/>
      <c r="I2" s="1129"/>
      <c r="J2" s="1129"/>
      <c r="K2" s="1129"/>
      <c r="L2" s="1129"/>
      <c r="M2" s="1129"/>
      <c r="N2" s="1129"/>
      <c r="O2" s="1129"/>
      <c r="P2" s="1129"/>
      <c r="Q2" s="1129"/>
      <c r="R2" s="1129"/>
      <c r="S2" s="1129"/>
      <c r="T2" s="1129"/>
      <c r="U2" s="1129"/>
      <c r="V2" s="1129"/>
      <c r="W2" s="1130"/>
      <c r="X2" s="1132" t="s">
        <v>39</v>
      </c>
      <c r="Y2" s="1133"/>
    </row>
    <row r="3" spans="1:28" x14ac:dyDescent="0.55000000000000004">
      <c r="A3" s="577"/>
      <c r="B3" s="1124"/>
      <c r="C3" s="1122"/>
      <c r="D3" s="1122"/>
      <c r="E3" s="1122"/>
      <c r="F3" s="1122"/>
      <c r="G3" s="1122"/>
      <c r="H3" s="1122"/>
      <c r="I3" s="1122"/>
      <c r="J3" s="1122"/>
      <c r="K3" s="1122"/>
      <c r="L3" s="1122"/>
      <c r="M3" s="1122"/>
      <c r="N3" s="1122"/>
      <c r="O3" s="1122"/>
      <c r="P3" s="1122"/>
      <c r="Q3" s="1122"/>
      <c r="R3" s="1122"/>
      <c r="S3" s="1122"/>
      <c r="T3" s="1122"/>
      <c r="U3" s="1122"/>
      <c r="V3" s="1122"/>
      <c r="W3" s="1131"/>
      <c r="X3" s="1132" t="s">
        <v>40</v>
      </c>
      <c r="Y3" s="1133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122">
        <v>2</v>
      </c>
      <c r="D5" s="1122"/>
      <c r="E5" s="435"/>
      <c r="F5" s="435"/>
      <c r="G5" s="435" t="s">
        <v>42</v>
      </c>
      <c r="H5" s="1134" t="s">
        <v>54</v>
      </c>
      <c r="I5" s="1134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135" t="s">
        <v>2</v>
      </c>
      <c r="D7" s="1135"/>
      <c r="E7" s="436"/>
      <c r="F7" s="436"/>
      <c r="G7" s="435" t="s">
        <v>45</v>
      </c>
      <c r="H7" s="1136">
        <v>45773</v>
      </c>
      <c r="I7" s="1136"/>
      <c r="J7" s="437"/>
      <c r="K7" s="437"/>
      <c r="L7" s="437"/>
      <c r="M7" s="437"/>
      <c r="N7" s="437"/>
      <c r="O7" s="437"/>
      <c r="P7" s="1121" t="s">
        <v>46</v>
      </c>
      <c r="Q7" s="1121"/>
      <c r="R7" s="1121"/>
      <c r="S7" s="1122" t="s">
        <v>116</v>
      </c>
      <c r="T7" s="1122"/>
      <c r="U7" s="1122"/>
      <c r="V7" s="1122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14" t="s">
        <v>47</v>
      </c>
      <c r="B9" s="1115"/>
      <c r="C9" s="1116" t="s">
        <v>65</v>
      </c>
      <c r="D9" s="1117"/>
      <c r="E9" s="1117"/>
      <c r="F9" s="1117"/>
      <c r="G9" s="1117"/>
      <c r="H9" s="1117"/>
      <c r="I9" s="1118"/>
      <c r="J9" s="1116" t="s">
        <v>63</v>
      </c>
      <c r="K9" s="1117"/>
      <c r="L9" s="1117"/>
      <c r="M9" s="1117"/>
      <c r="N9" s="1117"/>
      <c r="O9" s="1117"/>
      <c r="P9" s="1118"/>
      <c r="Q9" s="1119" t="s">
        <v>8</v>
      </c>
      <c r="R9" s="1120"/>
      <c r="S9" s="1120"/>
      <c r="T9" s="1120"/>
      <c r="U9" s="1120"/>
      <c r="V9" s="1120"/>
      <c r="W9" s="1120"/>
      <c r="X9" s="1118"/>
    </row>
    <row r="10" spans="1:28" ht="48" customHeight="1" thickBot="1" x14ac:dyDescent="0.6">
      <c r="A10" s="1112" t="s">
        <v>48</v>
      </c>
      <c r="B10" s="1113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094" t="s">
        <v>9</v>
      </c>
      <c r="B18" s="1095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096" t="s">
        <v>50</v>
      </c>
      <c r="B19" s="1097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98"/>
      <c r="N20" s="1098"/>
      <c r="O20" s="1098"/>
      <c r="P20" s="1098"/>
      <c r="Q20" s="1099"/>
      <c r="R20" s="1099"/>
      <c r="S20" s="1099"/>
      <c r="T20" s="1099"/>
      <c r="U20" s="1099"/>
      <c r="V20" s="1099"/>
      <c r="W20" s="1099"/>
      <c r="X20" s="1098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05" t="s">
        <v>27</v>
      </c>
      <c r="B22" s="1106"/>
      <c r="C22" s="1107" t="s">
        <v>8</v>
      </c>
      <c r="D22" s="1108"/>
      <c r="E22" s="1108"/>
      <c r="F22" s="1108"/>
      <c r="G22" s="1108"/>
      <c r="H22" s="1108"/>
      <c r="I22" s="1109"/>
      <c r="J22" s="446"/>
      <c r="K22" s="445"/>
      <c r="L22" s="1110" t="s">
        <v>49</v>
      </c>
      <c r="M22" s="1111"/>
      <c r="N22" s="1107" t="s">
        <v>8</v>
      </c>
      <c r="O22" s="1108"/>
      <c r="P22" s="1108"/>
      <c r="Q22" s="1108"/>
      <c r="R22" s="1108"/>
      <c r="S22" s="1108"/>
      <c r="T22" s="1109"/>
      <c r="U22" s="548"/>
      <c r="V22" s="549"/>
      <c r="W22" s="549"/>
      <c r="X22" s="550"/>
      <c r="Y22" s="549"/>
    </row>
    <row r="23" spans="1:28" ht="48" customHeight="1" thickBot="1" x14ac:dyDescent="0.6">
      <c r="A23" s="1112" t="s">
        <v>48</v>
      </c>
      <c r="B23" s="1113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112" t="s">
        <v>48</v>
      </c>
      <c r="M23" s="1113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094" t="s">
        <v>9</v>
      </c>
      <c r="B31" s="1095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094" t="s">
        <v>9</v>
      </c>
      <c r="M31" s="1095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096" t="s">
        <v>50</v>
      </c>
      <c r="B32" s="1097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096" t="s">
        <v>50</v>
      </c>
      <c r="M32" s="1097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100" t="s">
        <v>19</v>
      </c>
      <c r="B35" s="1101"/>
      <c r="C35" s="1102" t="s">
        <v>113</v>
      </c>
      <c r="D35" s="1103"/>
      <c r="E35" s="1103"/>
      <c r="F35" s="1103"/>
      <c r="G35" s="1103"/>
      <c r="H35" s="1103"/>
      <c r="I35" s="1104"/>
      <c r="J35" s="1102" t="s">
        <v>63</v>
      </c>
      <c r="K35" s="1103"/>
      <c r="L35" s="1103"/>
      <c r="M35" s="1103"/>
      <c r="N35" s="1103"/>
      <c r="O35" s="1103"/>
      <c r="P35" s="1104"/>
      <c r="Q35" s="1102" t="s">
        <v>8</v>
      </c>
      <c r="R35" s="1103"/>
      <c r="S35" s="1103"/>
      <c r="T35" s="1103"/>
      <c r="U35" s="1103"/>
      <c r="V35" s="1103"/>
      <c r="W35" s="1103"/>
      <c r="X35" s="1104"/>
      <c r="Y35" s="434"/>
    </row>
    <row r="36" spans="1:25" ht="48" customHeight="1" thickBot="1" x14ac:dyDescent="0.6">
      <c r="A36" s="1112" t="s">
        <v>48</v>
      </c>
      <c r="B36" s="1113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094" t="s">
        <v>9</v>
      </c>
      <c r="B44" s="1095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096" t="s">
        <v>50</v>
      </c>
      <c r="B45" s="1097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A44:B44"/>
    <mergeCell ref="A31:B31"/>
    <mergeCell ref="L31:M31"/>
    <mergeCell ref="A32:B32"/>
    <mergeCell ref="L32:M32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9:B9"/>
    <mergeCell ref="C9:I9"/>
    <mergeCell ref="J9:P9"/>
    <mergeCell ref="Q9:X9"/>
    <mergeCell ref="A10:B10"/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</mergeCells>
  <conditionalFormatting sqref="C26:H30">
    <cfRule type="cellIs" dxfId="7" priority="4" operator="equal">
      <formula>0</formula>
    </cfRule>
  </conditionalFormatting>
  <conditionalFormatting sqref="C13:W17">
    <cfRule type="cellIs" dxfId="6" priority="5" operator="equal">
      <formula>0</formula>
    </cfRule>
  </conditionalFormatting>
  <conditionalFormatting sqref="C39:W43">
    <cfRule type="cellIs" dxfId="5" priority="1" operator="equal">
      <formula>0</formula>
    </cfRule>
  </conditionalFormatting>
  <conditionalFormatting sqref="N26:S30">
    <cfRule type="cellIs" dxfId="4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2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123"/>
      <c r="C1" s="1125" t="s">
        <v>36</v>
      </c>
      <c r="D1" s="1125"/>
      <c r="E1" s="1125"/>
      <c r="F1" s="1125"/>
      <c r="G1" s="1125"/>
      <c r="H1" s="1125"/>
      <c r="I1" s="1125"/>
      <c r="J1" s="1125"/>
      <c r="K1" s="1125"/>
      <c r="L1" s="1125"/>
      <c r="M1" s="1125"/>
      <c r="N1" s="1125"/>
      <c r="O1" s="1125"/>
      <c r="P1" s="1125"/>
      <c r="Q1" s="1125"/>
      <c r="R1" s="1125"/>
      <c r="S1" s="1125"/>
      <c r="T1" s="1125"/>
      <c r="U1" s="1125"/>
      <c r="V1" s="1125"/>
      <c r="W1" s="1126"/>
      <c r="X1" s="1127" t="s">
        <v>37</v>
      </c>
      <c r="Y1" s="1128"/>
    </row>
    <row r="2" spans="1:28" x14ac:dyDescent="0.55000000000000004">
      <c r="A2" s="577"/>
      <c r="B2" s="1124"/>
      <c r="C2" s="1129" t="s">
        <v>38</v>
      </c>
      <c r="D2" s="1129"/>
      <c r="E2" s="1129"/>
      <c r="F2" s="1129"/>
      <c r="G2" s="1129"/>
      <c r="H2" s="1129"/>
      <c r="I2" s="1129"/>
      <c r="J2" s="1129"/>
      <c r="K2" s="1129"/>
      <c r="L2" s="1129"/>
      <c r="M2" s="1129"/>
      <c r="N2" s="1129"/>
      <c r="O2" s="1129"/>
      <c r="P2" s="1129"/>
      <c r="Q2" s="1129"/>
      <c r="R2" s="1129"/>
      <c r="S2" s="1129"/>
      <c r="T2" s="1129"/>
      <c r="U2" s="1129"/>
      <c r="V2" s="1129"/>
      <c r="W2" s="1130"/>
      <c r="X2" s="1132" t="s">
        <v>39</v>
      </c>
      <c r="Y2" s="1133"/>
    </row>
    <row r="3" spans="1:28" x14ac:dyDescent="0.55000000000000004">
      <c r="A3" s="577"/>
      <c r="B3" s="1124"/>
      <c r="C3" s="1122"/>
      <c r="D3" s="1122"/>
      <c r="E3" s="1122"/>
      <c r="F3" s="1122"/>
      <c r="G3" s="1122"/>
      <c r="H3" s="1122"/>
      <c r="I3" s="1122"/>
      <c r="J3" s="1122"/>
      <c r="K3" s="1122"/>
      <c r="L3" s="1122"/>
      <c r="M3" s="1122"/>
      <c r="N3" s="1122"/>
      <c r="O3" s="1122"/>
      <c r="P3" s="1122"/>
      <c r="Q3" s="1122"/>
      <c r="R3" s="1122"/>
      <c r="S3" s="1122"/>
      <c r="T3" s="1122"/>
      <c r="U3" s="1122"/>
      <c r="V3" s="1122"/>
      <c r="W3" s="1131"/>
      <c r="X3" s="1132" t="s">
        <v>40</v>
      </c>
      <c r="Y3" s="1133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122">
        <v>2</v>
      </c>
      <c r="D5" s="1122"/>
      <c r="E5" s="435"/>
      <c r="F5" s="435"/>
      <c r="G5" s="435" t="s">
        <v>42</v>
      </c>
      <c r="H5" s="1134" t="s">
        <v>54</v>
      </c>
      <c r="I5" s="1134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135" t="s">
        <v>2</v>
      </c>
      <c r="D7" s="1135"/>
      <c r="E7" s="436"/>
      <c r="F7" s="436"/>
      <c r="G7" s="435" t="s">
        <v>45</v>
      </c>
      <c r="H7" s="1136">
        <v>45773</v>
      </c>
      <c r="I7" s="1136"/>
      <c r="J7" s="437"/>
      <c r="K7" s="437"/>
      <c r="L7" s="437"/>
      <c r="M7" s="437"/>
      <c r="N7" s="437"/>
      <c r="O7" s="437"/>
      <c r="P7" s="1121" t="s">
        <v>46</v>
      </c>
      <c r="Q7" s="1121"/>
      <c r="R7" s="1121"/>
      <c r="S7" s="1122" t="s">
        <v>116</v>
      </c>
      <c r="T7" s="1122"/>
      <c r="U7" s="1122"/>
      <c r="V7" s="1122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14" t="s">
        <v>47</v>
      </c>
      <c r="B9" s="1115"/>
      <c r="C9" s="1116" t="s">
        <v>65</v>
      </c>
      <c r="D9" s="1117"/>
      <c r="E9" s="1117"/>
      <c r="F9" s="1117"/>
      <c r="G9" s="1117"/>
      <c r="H9" s="1117"/>
      <c r="I9" s="1118"/>
      <c r="J9" s="1116" t="s">
        <v>63</v>
      </c>
      <c r="K9" s="1117"/>
      <c r="L9" s="1117"/>
      <c r="M9" s="1117"/>
      <c r="N9" s="1117"/>
      <c r="O9" s="1117"/>
      <c r="P9" s="1118"/>
      <c r="Q9" s="1119" t="s">
        <v>8</v>
      </c>
      <c r="R9" s="1120"/>
      <c r="S9" s="1120"/>
      <c r="T9" s="1120"/>
      <c r="U9" s="1120"/>
      <c r="V9" s="1120"/>
      <c r="W9" s="1120"/>
      <c r="X9" s="1118"/>
    </row>
    <row r="10" spans="1:28" ht="48" customHeight="1" thickBot="1" x14ac:dyDescent="0.6">
      <c r="A10" s="1112" t="s">
        <v>48</v>
      </c>
      <c r="B10" s="1113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094" t="s">
        <v>9</v>
      </c>
      <c r="B18" s="1095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096" t="s">
        <v>50</v>
      </c>
      <c r="B19" s="1097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98"/>
      <c r="N20" s="1098"/>
      <c r="O20" s="1098"/>
      <c r="P20" s="1098"/>
      <c r="Q20" s="1099"/>
      <c r="R20" s="1099"/>
      <c r="S20" s="1099"/>
      <c r="T20" s="1099"/>
      <c r="U20" s="1099"/>
      <c r="V20" s="1099"/>
      <c r="W20" s="1099"/>
      <c r="X20" s="1098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05" t="s">
        <v>27</v>
      </c>
      <c r="B22" s="1106"/>
      <c r="C22" s="1107" t="s">
        <v>8</v>
      </c>
      <c r="D22" s="1108"/>
      <c r="E22" s="1108"/>
      <c r="F22" s="1108"/>
      <c r="G22" s="1108"/>
      <c r="H22" s="1108"/>
      <c r="I22" s="1109"/>
      <c r="J22" s="446"/>
      <c r="K22" s="445"/>
      <c r="L22" s="1110" t="s">
        <v>49</v>
      </c>
      <c r="M22" s="1111"/>
      <c r="N22" s="1107" t="s">
        <v>8</v>
      </c>
      <c r="O22" s="1108"/>
      <c r="P22" s="1108"/>
      <c r="Q22" s="1108"/>
      <c r="R22" s="1108"/>
      <c r="S22" s="1108"/>
      <c r="T22" s="1109"/>
      <c r="U22" s="548"/>
      <c r="V22" s="549"/>
      <c r="W22" s="549"/>
      <c r="X22" s="550"/>
      <c r="Y22" s="549"/>
    </row>
    <row r="23" spans="1:28" ht="48" customHeight="1" thickBot="1" x14ac:dyDescent="0.6">
      <c r="A23" s="1112" t="s">
        <v>48</v>
      </c>
      <c r="B23" s="1113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112" t="s">
        <v>48</v>
      </c>
      <c r="M23" s="1113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094" t="s">
        <v>9</v>
      </c>
      <c r="B31" s="1095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094" t="s">
        <v>9</v>
      </c>
      <c r="M31" s="1095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096" t="s">
        <v>50</v>
      </c>
      <c r="B32" s="1097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096" t="s">
        <v>50</v>
      </c>
      <c r="M32" s="1097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100" t="s">
        <v>19</v>
      </c>
      <c r="B35" s="1101"/>
      <c r="C35" s="1102" t="s">
        <v>113</v>
      </c>
      <c r="D35" s="1103"/>
      <c r="E35" s="1103"/>
      <c r="F35" s="1103"/>
      <c r="G35" s="1103"/>
      <c r="H35" s="1103"/>
      <c r="I35" s="1104"/>
      <c r="J35" s="1102" t="s">
        <v>63</v>
      </c>
      <c r="K35" s="1103"/>
      <c r="L35" s="1103"/>
      <c r="M35" s="1103"/>
      <c r="N35" s="1103"/>
      <c r="O35" s="1103"/>
      <c r="P35" s="1104"/>
      <c r="Q35" s="1102" t="s">
        <v>8</v>
      </c>
      <c r="R35" s="1103"/>
      <c r="S35" s="1103"/>
      <c r="T35" s="1103"/>
      <c r="U35" s="1103"/>
      <c r="V35" s="1103"/>
      <c r="W35" s="1103"/>
      <c r="X35" s="1104"/>
      <c r="Y35" s="434"/>
    </row>
    <row r="36" spans="1:25" ht="48" customHeight="1" thickBot="1" x14ac:dyDescent="0.6">
      <c r="A36" s="1112" t="s">
        <v>48</v>
      </c>
      <c r="B36" s="1113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094" t="s">
        <v>9</v>
      </c>
      <c r="B44" s="1095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096" t="s">
        <v>50</v>
      </c>
      <c r="B45" s="1097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A44:B44"/>
    <mergeCell ref="A31:B31"/>
    <mergeCell ref="L31:M31"/>
    <mergeCell ref="A32:B32"/>
    <mergeCell ref="L32:M32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9:B9"/>
    <mergeCell ref="C9:I9"/>
    <mergeCell ref="J9:P9"/>
    <mergeCell ref="Q9:X9"/>
    <mergeCell ref="A10:B10"/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</mergeCells>
  <conditionalFormatting sqref="C26:H30">
    <cfRule type="cellIs" dxfId="3" priority="4" operator="equal">
      <formula>0</formula>
    </cfRule>
  </conditionalFormatting>
  <conditionalFormatting sqref="C13:W17">
    <cfRule type="cellIs" dxfId="2" priority="5" operator="equal">
      <formula>0</formula>
    </cfRule>
  </conditionalFormatting>
  <conditionalFormatting sqref="C39:W43">
    <cfRule type="cellIs" dxfId="1" priority="1" operator="equal">
      <formula>0</formula>
    </cfRule>
  </conditionalFormatting>
  <conditionalFormatting sqref="N26:S30">
    <cfRule type="cellIs" dxfId="0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85</vt:i4>
      </vt:variant>
      <vt:variant>
        <vt:lpstr>Rangos con nombre</vt:lpstr>
      </vt:variant>
      <vt:variant>
        <vt:i4>3</vt:i4>
      </vt:variant>
    </vt:vector>
  </HeadingPairs>
  <TitlesOfParts>
    <vt:vector size="88" baseType="lpstr">
      <vt:lpstr>SEM 1</vt:lpstr>
      <vt:lpstr>SEM2</vt:lpstr>
      <vt:lpstr>SEM3</vt:lpstr>
      <vt:lpstr>SEM 4</vt:lpstr>
      <vt:lpstr>SEM4 post grading</vt:lpstr>
      <vt:lpstr>SEM5</vt:lpstr>
      <vt:lpstr>SEM6</vt:lpstr>
      <vt:lpstr>SEM7</vt:lpstr>
      <vt:lpstr>SEM8</vt:lpstr>
      <vt:lpstr>SEM9</vt:lpstr>
      <vt:lpstr>SEM10</vt:lpstr>
      <vt:lpstr>SEM11</vt:lpstr>
      <vt:lpstr>SEM12</vt:lpstr>
      <vt:lpstr>SEM13</vt:lpstr>
      <vt:lpstr>SEM14</vt:lpstr>
      <vt:lpstr>SEM14.1</vt:lpstr>
      <vt:lpstr>SEM14.2</vt:lpstr>
      <vt:lpstr>SEM14.3</vt:lpstr>
      <vt:lpstr>SEM15</vt:lpstr>
      <vt:lpstr>SEM16</vt:lpstr>
      <vt:lpstr>SEM17</vt:lpstr>
      <vt:lpstr>SEM18</vt:lpstr>
      <vt:lpstr>SEM19</vt:lpstr>
      <vt:lpstr>SEM19,2</vt:lpstr>
      <vt:lpstr>SEM19,3</vt:lpstr>
      <vt:lpstr>SEM19,4</vt:lpstr>
      <vt:lpstr>SEM 20</vt:lpstr>
      <vt:lpstr>SEM 20,1</vt:lpstr>
      <vt:lpstr>SEM 20,2</vt:lpstr>
      <vt:lpstr>SEM 20,3</vt:lpstr>
      <vt:lpstr>SEM 20,4</vt:lpstr>
      <vt:lpstr>SEM 21</vt:lpstr>
      <vt:lpstr>SEM 22</vt:lpstr>
      <vt:lpstr>SEM 22,1</vt:lpstr>
      <vt:lpstr>SEM 22,2</vt:lpstr>
      <vt:lpstr>SEM 23</vt:lpstr>
      <vt:lpstr>SEM 23,1</vt:lpstr>
      <vt:lpstr>SEM 24</vt:lpstr>
      <vt:lpstr>SEM 25</vt:lpstr>
      <vt:lpstr>SEM 26</vt:lpstr>
      <vt:lpstr>SEM 27</vt:lpstr>
      <vt:lpstr>SEM 28</vt:lpstr>
      <vt:lpstr>SEM 29</vt:lpstr>
      <vt:lpstr>SEM 30</vt:lpstr>
      <vt:lpstr>SEM 30,1</vt:lpstr>
      <vt:lpstr>SEM 30,2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49.2</vt:lpstr>
      <vt:lpstr>SEM 50</vt:lpstr>
      <vt:lpstr>SEM 50,2</vt:lpstr>
      <vt:lpstr>SEM 50,3</vt:lpstr>
      <vt:lpstr>SEM 50,4</vt:lpstr>
      <vt:lpstr>SEM 51</vt:lpstr>
      <vt:lpstr>SEM 52</vt:lpstr>
      <vt:lpstr>SEM 53</vt:lpstr>
      <vt:lpstr>SEM 54</vt:lpstr>
      <vt:lpstr>SEM 55</vt:lpstr>
      <vt:lpstr>SEM 56</vt:lpstr>
      <vt:lpstr>SEM 57</vt:lpstr>
      <vt:lpstr>SEM 58</vt:lpstr>
      <vt:lpstr>SEM 59</vt:lpstr>
      <vt:lpstr>SEM 60</vt:lpstr>
      <vt:lpstr>SEM 61</vt:lpstr>
      <vt:lpstr>IMPRIMIR</vt:lpstr>
      <vt:lpstr>SEM 62</vt:lpstr>
      <vt:lpstr>COPIA JOSE</vt:lpstr>
      <vt:lpstr>COPIA JOSE (2)</vt:lpstr>
      <vt:lpstr>'COPIA JOSE'!Área_de_impresión</vt:lpstr>
      <vt:lpstr>'COPIA JOSE (2)'!Área_de_impresión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Garcia, Jose</cp:lastModifiedBy>
  <cp:lastPrinted>2025-05-27T22:16:21Z</cp:lastPrinted>
  <dcterms:created xsi:type="dcterms:W3CDTF">2021-03-04T08:17:33Z</dcterms:created>
  <dcterms:modified xsi:type="dcterms:W3CDTF">2025-05-27T22:19:49Z</dcterms:modified>
</cp:coreProperties>
</file>